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Misc\Gaming\dq\"/>
    </mc:Choice>
  </mc:AlternateContent>
  <xr:revisionPtr revIDLastSave="0" documentId="13_ncr:1_{27E6F49A-9704-43F6-9C22-F6B911FC4861}" xr6:coauthVersionLast="47" xr6:coauthVersionMax="47" xr10:uidLastSave="{00000000-0000-0000-0000-000000000000}"/>
  <bookViews>
    <workbookView xWindow="1035" yWindow="3330" windowWidth="21600" windowHeight="11385" firstSheet="5" activeTab="10" xr2:uid="{00000000-000D-0000-FFFF-FFFF00000000}"/>
  </bookViews>
  <sheets>
    <sheet name="Summary (P)" sheetId="9" r:id="rId1"/>
    <sheet name="Attack Rolls" sheetId="18" r:id="rId2"/>
    <sheet name="Spec Grev" sheetId="13" r:id="rId3"/>
    <sheet name="Bonuses" sheetId="2" r:id="rId4"/>
    <sheet name="Combat" sheetId="6" r:id="rId5"/>
    <sheet name="Skills" sheetId="7" r:id="rId6"/>
    <sheet name="Magic" sheetId="8" r:id="rId7"/>
    <sheet name="Weapons" sheetId="3" r:id="rId8"/>
    <sheet name="Ranking" sheetId="10" r:id="rId9"/>
    <sheet name="XP &amp; SP Log" sheetId="17" r:id="rId10"/>
    <sheet name="Setup" sheetId="4" r:id="rId11"/>
    <sheet name="Stats" sheetId="1" r:id="rId12"/>
    <sheet name="Warrior" sheetId="15" r:id="rId13"/>
    <sheet name="Languages" sheetId="16" r:id="rId14"/>
    <sheet name="Names" sheetId="11" r:id="rId15"/>
    <sheet name="Summary (P) Namer" sheetId="14" r:id="rId16"/>
    <sheet name="Summary (L)" sheetId="12" r:id="rId17"/>
    <sheet name="TmrEncumRef" sheetId="5" r:id="rId18"/>
  </sheets>
  <definedNames>
    <definedName name="_xlnm.Print_Area" localSheetId="4">Combat!$A$1:$L$20</definedName>
    <definedName name="_xlnm.Print_Area" localSheetId="14">Names!$G$1:$U$71</definedName>
    <definedName name="_xlnm.Print_Area" localSheetId="8">Ranking!$A$1:$M$105</definedName>
    <definedName name="_xlnm.Print_Area" localSheetId="5">Skills!$A$1:$D$98</definedName>
    <definedName name="_xlnm.Print_Area" localSheetId="0">'Summary (P)'!$A$1:$L$202</definedName>
    <definedName name="_xlnm.Print_Area" localSheetId="15">'Summary (P) Namer'!$A$1:$R$165</definedName>
    <definedName name="_xlnm.Print_Area" localSheetId="7">Weapons!$A$1:$J$89</definedName>
    <definedName name="_xlnm.Print_Titles" localSheetId="14">Names!$1:$1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7" i="12" l="1"/>
  <c r="A6" i="12"/>
  <c r="A5" i="12"/>
  <c r="A3" i="12"/>
  <c r="A2" i="12"/>
  <c r="O2" i="12"/>
  <c r="O1" i="12"/>
  <c r="R16" i="9"/>
  <c r="R17" i="9" s="1"/>
  <c r="R15" i="9"/>
  <c r="L10" i="9"/>
  <c r="A8" i="6"/>
  <c r="A9" i="2"/>
  <c r="B9" i="2"/>
  <c r="U4" i="6"/>
  <c r="G9" i="2" s="1"/>
  <c r="T4" i="6"/>
  <c r="C9" i="2" s="1"/>
  <c r="K177" i="9"/>
  <c r="G177" i="9"/>
  <c r="B177" i="9"/>
  <c r="K176" i="9"/>
  <c r="G176" i="9"/>
  <c r="B176" i="9"/>
  <c r="K175" i="9"/>
  <c r="G175" i="9"/>
  <c r="B175" i="9"/>
  <c r="K174" i="9"/>
  <c r="G174" i="9"/>
  <c r="B174" i="9"/>
  <c r="K173" i="9"/>
  <c r="G173" i="9"/>
  <c r="B173" i="9"/>
  <c r="K172" i="9"/>
  <c r="G172" i="9"/>
  <c r="B172" i="9"/>
  <c r="K171" i="9"/>
  <c r="G171" i="9"/>
  <c r="B171" i="9"/>
  <c r="K170" i="9"/>
  <c r="G170" i="9"/>
  <c r="B170" i="9"/>
  <c r="K169" i="9"/>
  <c r="G169" i="9"/>
  <c r="B169" i="9"/>
  <c r="K168" i="9"/>
  <c r="G168" i="9"/>
  <c r="B168" i="9"/>
  <c r="K167" i="9"/>
  <c r="G167" i="9"/>
  <c r="B167" i="9"/>
  <c r="K166" i="9"/>
  <c r="G166" i="9"/>
  <c r="B166" i="9"/>
  <c r="K165" i="9"/>
  <c r="G165" i="9"/>
  <c r="B165" i="9"/>
  <c r="K164" i="9"/>
  <c r="G164" i="9"/>
  <c r="B164" i="9"/>
  <c r="K163" i="9"/>
  <c r="G163" i="9"/>
  <c r="B163" i="9"/>
  <c r="K162" i="9"/>
  <c r="G162" i="9"/>
  <c r="B162" i="9"/>
  <c r="K161" i="9"/>
  <c r="G161" i="9"/>
  <c r="B161" i="9"/>
  <c r="K160" i="9"/>
  <c r="G160" i="9"/>
  <c r="B160" i="9"/>
  <c r="K159" i="9"/>
  <c r="G159" i="9"/>
  <c r="B159" i="9"/>
  <c r="K158" i="9"/>
  <c r="G158" i="9"/>
  <c r="B158" i="9"/>
  <c r="K157" i="9"/>
  <c r="G157" i="9"/>
  <c r="B157" i="9"/>
  <c r="K156" i="9"/>
  <c r="G156" i="9"/>
  <c r="B156" i="9"/>
  <c r="K155" i="9"/>
  <c r="G155" i="9"/>
  <c r="B155" i="9"/>
  <c r="K154" i="9"/>
  <c r="G154" i="9"/>
  <c r="B154" i="9"/>
  <c r="K153" i="9"/>
  <c r="G153" i="9"/>
  <c r="B153" i="9"/>
  <c r="K152" i="9"/>
  <c r="G152" i="9"/>
  <c r="B152" i="9"/>
  <c r="K151" i="9"/>
  <c r="G151" i="9"/>
  <c r="B151" i="9"/>
  <c r="K150" i="9"/>
  <c r="G150" i="9"/>
  <c r="B150" i="9"/>
  <c r="AC32" i="16"/>
  <c r="AC31" i="16"/>
  <c r="B32" i="16"/>
  <c r="B31" i="16"/>
  <c r="B30" i="16"/>
  <c r="B29" i="16"/>
  <c r="AF29" i="16" s="1"/>
  <c r="K31" i="16" l="1"/>
  <c r="K32" i="16"/>
  <c r="AQ30" i="16"/>
  <c r="J30" i="16"/>
  <c r="J29" i="16"/>
  <c r="L3" i="9" l="1"/>
  <c r="O3" i="9"/>
  <c r="N3" i="9"/>
  <c r="E29" i="18"/>
  <c r="E25" i="18" s="1"/>
  <c r="E27" i="18"/>
  <c r="C27" i="18"/>
  <c r="C25" i="18" s="1"/>
  <c r="H25" i="18"/>
  <c r="G25" i="18"/>
  <c r="F25" i="18"/>
  <c r="D25" i="18"/>
  <c r="H22" i="18"/>
  <c r="G22" i="18"/>
  <c r="F22" i="18"/>
  <c r="E22" i="18"/>
  <c r="H21" i="18"/>
  <c r="G21" i="18"/>
  <c r="F21" i="18"/>
  <c r="E21" i="18"/>
  <c r="H20" i="18"/>
  <c r="G20" i="18"/>
  <c r="F20" i="18"/>
  <c r="E20" i="18"/>
  <c r="H18" i="18"/>
  <c r="G18" i="18"/>
  <c r="F18" i="18"/>
  <c r="E18" i="18"/>
  <c r="H17" i="18"/>
  <c r="G17" i="18"/>
  <c r="F17" i="18"/>
  <c r="E17" i="18"/>
  <c r="H16" i="18"/>
  <c r="G16" i="18"/>
  <c r="F16" i="18"/>
  <c r="E16" i="18"/>
  <c r="R15" i="18"/>
  <c r="H14" i="18"/>
  <c r="G14" i="18"/>
  <c r="F14" i="18"/>
  <c r="E14" i="18"/>
  <c r="H13" i="18"/>
  <c r="G13" i="18"/>
  <c r="F13" i="18"/>
  <c r="E13" i="18"/>
  <c r="H12" i="18"/>
  <c r="G12" i="18"/>
  <c r="F12" i="18"/>
  <c r="E12" i="18"/>
  <c r="H11" i="18"/>
  <c r="G11" i="18"/>
  <c r="F11" i="18"/>
  <c r="E11" i="18"/>
  <c r="H10" i="18"/>
  <c r="G10" i="18"/>
  <c r="F10" i="18"/>
  <c r="E10" i="18"/>
  <c r="H9" i="18"/>
  <c r="G9" i="18"/>
  <c r="F9" i="18"/>
  <c r="E9" i="18"/>
  <c r="H8" i="18"/>
  <c r="G8" i="18"/>
  <c r="F8" i="18"/>
  <c r="E8" i="18"/>
  <c r="H7" i="18"/>
  <c r="G7" i="18"/>
  <c r="F7" i="18"/>
  <c r="E7" i="18"/>
  <c r="H6" i="18"/>
  <c r="G6" i="18"/>
  <c r="F6" i="18"/>
  <c r="E6" i="18"/>
  <c r="H5" i="18"/>
  <c r="G5" i="18"/>
  <c r="F5" i="18"/>
  <c r="E5" i="18"/>
  <c r="H4" i="18"/>
  <c r="G4" i="18"/>
  <c r="F4" i="18"/>
  <c r="E4" i="18"/>
  <c r="B28" i="16" l="1"/>
  <c r="J28" i="16" l="1"/>
  <c r="AE28" i="16"/>
  <c r="L177" i="9"/>
  <c r="H177" i="9"/>
  <c r="C177" i="9"/>
  <c r="A177" i="9"/>
  <c r="L176" i="9"/>
  <c r="H176" i="9"/>
  <c r="C176" i="9"/>
  <c r="A176" i="9"/>
  <c r="L175" i="9"/>
  <c r="L174" i="9"/>
  <c r="L173" i="9"/>
  <c r="L172" i="9"/>
  <c r="L171" i="9"/>
  <c r="L170" i="9"/>
  <c r="L169" i="9"/>
  <c r="L168" i="9"/>
  <c r="L167" i="9"/>
  <c r="L166" i="9"/>
  <c r="L165" i="9"/>
  <c r="L164" i="9"/>
  <c r="L163" i="9"/>
  <c r="L162" i="9"/>
  <c r="L161" i="9"/>
  <c r="L160" i="9"/>
  <c r="L159" i="9"/>
  <c r="L158" i="9"/>
  <c r="L157" i="9"/>
  <c r="L156" i="9"/>
  <c r="L155" i="9"/>
  <c r="L154" i="9"/>
  <c r="L153" i="9"/>
  <c r="L152" i="9"/>
  <c r="L151" i="9"/>
  <c r="L150" i="9"/>
  <c r="H175" i="9"/>
  <c r="C175" i="9"/>
  <c r="A175" i="9"/>
  <c r="H174" i="9"/>
  <c r="C174" i="9"/>
  <c r="A174" i="9"/>
  <c r="H173" i="9"/>
  <c r="C173" i="9"/>
  <c r="A173" i="9"/>
  <c r="H172" i="9"/>
  <c r="C172" i="9"/>
  <c r="A172" i="9"/>
  <c r="H171" i="9"/>
  <c r="C171" i="9"/>
  <c r="A171" i="9"/>
  <c r="H170" i="9"/>
  <c r="C170" i="9"/>
  <c r="A170" i="9"/>
  <c r="H169" i="9"/>
  <c r="C169" i="9"/>
  <c r="A169" i="9"/>
  <c r="H168" i="9"/>
  <c r="C168" i="9"/>
  <c r="A168" i="9"/>
  <c r="H167" i="9"/>
  <c r="C167" i="9"/>
  <c r="A167" i="9"/>
  <c r="H166" i="9"/>
  <c r="C166" i="9"/>
  <c r="A166" i="9"/>
  <c r="H165" i="9"/>
  <c r="H164" i="9"/>
  <c r="H163" i="9"/>
  <c r="H162" i="9"/>
  <c r="H161" i="9"/>
  <c r="H160" i="9"/>
  <c r="H159" i="9"/>
  <c r="H158" i="9"/>
  <c r="H157" i="9"/>
  <c r="H156" i="9"/>
  <c r="H155" i="9"/>
  <c r="H154" i="9"/>
  <c r="H153" i="9"/>
  <c r="H152" i="9"/>
  <c r="H151" i="9"/>
  <c r="H150" i="9"/>
  <c r="E5" i="17" l="1"/>
  <c r="A2" i="17" s="1"/>
  <c r="E3" i="10" s="1"/>
  <c r="K12" i="4"/>
  <c r="A3" i="17" s="1"/>
  <c r="K4" i="17" s="1"/>
  <c r="O2" i="17"/>
  <c r="L3" i="17"/>
  <c r="A1" i="17"/>
  <c r="G3" i="10" s="1"/>
  <c r="O3" i="17" l="1"/>
  <c r="L4" i="17"/>
  <c r="B6" i="16" l="1"/>
  <c r="AJ6" i="16" s="1"/>
  <c r="B90" i="16"/>
  <c r="U90" i="16" s="1"/>
  <c r="B88" i="16"/>
  <c r="T88" i="16" s="1"/>
  <c r="T2" i="16" s="1"/>
  <c r="B87" i="16"/>
  <c r="S87" i="16" s="1"/>
  <c r="B86" i="16"/>
  <c r="AS86" i="16" s="1"/>
  <c r="B85" i="16"/>
  <c r="S85" i="16" s="1"/>
  <c r="B83" i="16"/>
  <c r="S83" i="16" s="1"/>
  <c r="B82" i="16"/>
  <c r="S82" i="16" s="1"/>
  <c r="B81" i="16"/>
  <c r="AS81" i="16" s="1"/>
  <c r="B80" i="16"/>
  <c r="R80" i="16" s="1"/>
  <c r="B79" i="16"/>
  <c r="R79" i="16" s="1"/>
  <c r="B78" i="16"/>
  <c r="AK78" i="16" s="1"/>
  <c r="B76" i="16"/>
  <c r="AM76" i="16" s="1"/>
  <c r="B75" i="16"/>
  <c r="R75" i="16" s="1"/>
  <c r="B74" i="16"/>
  <c r="AB74" i="16" s="1"/>
  <c r="B73" i="16"/>
  <c r="AM73" i="16" s="1"/>
  <c r="B72" i="16"/>
  <c r="AG72" i="16" s="1"/>
  <c r="B71" i="16"/>
  <c r="Q71" i="16" s="1"/>
  <c r="B70" i="16"/>
  <c r="Q70" i="16" s="1"/>
  <c r="B69" i="16"/>
  <c r="Q69" i="16" s="1"/>
  <c r="B68" i="16"/>
  <c r="Q68" i="16" s="1"/>
  <c r="B67" i="16"/>
  <c r="P67" i="16" s="1"/>
  <c r="B66" i="16"/>
  <c r="AN66" i="16" s="1"/>
  <c r="B65" i="16"/>
  <c r="AO65" i="16" s="1"/>
  <c r="B64" i="16"/>
  <c r="AN64" i="16" s="1"/>
  <c r="B63" i="16"/>
  <c r="P63" i="16" s="1"/>
  <c r="B62" i="16"/>
  <c r="AR62" i="16" s="1"/>
  <c r="B61" i="16"/>
  <c r="P61" i="16" s="1"/>
  <c r="B60" i="16"/>
  <c r="AN60" i="16" s="1"/>
  <c r="B59" i="16"/>
  <c r="AD59" i="16" s="1"/>
  <c r="B58" i="16"/>
  <c r="AR58" i="16" s="1"/>
  <c r="B57" i="16"/>
  <c r="X57" i="16" s="1"/>
  <c r="B56" i="16"/>
  <c r="O56" i="16" s="1"/>
  <c r="B55" i="16"/>
  <c r="O55" i="16" s="1"/>
  <c r="B54" i="16"/>
  <c r="AE54" i="16" s="1"/>
  <c r="B52" i="16"/>
  <c r="AF52" i="16" s="1"/>
  <c r="B51" i="16"/>
  <c r="O51" i="16" s="1"/>
  <c r="B50" i="16"/>
  <c r="AA50" i="16" s="1"/>
  <c r="B49" i="16"/>
  <c r="N49" i="16" s="1"/>
  <c r="B48" i="16"/>
  <c r="AH48" i="16" s="1"/>
  <c r="B47" i="16"/>
  <c r="N47" i="16" s="1"/>
  <c r="B46" i="16"/>
  <c r="AP46" i="16" s="1"/>
  <c r="B45" i="16"/>
  <c r="Z45" i="16" s="1"/>
  <c r="B44" i="16"/>
  <c r="AP44" i="16" s="1"/>
  <c r="B43" i="16"/>
  <c r="Y43" i="16" s="1"/>
  <c r="B42" i="16"/>
  <c r="Y42" i="16" s="1"/>
  <c r="B41" i="16"/>
  <c r="M41" i="16" s="1"/>
  <c r="B40" i="16"/>
  <c r="L40" i="16" s="1"/>
  <c r="B39" i="16"/>
  <c r="L39" i="16" s="1"/>
  <c r="B38" i="16"/>
  <c r="L38" i="16" s="1"/>
  <c r="B37" i="16"/>
  <c r="L37" i="16" s="1"/>
  <c r="B36" i="16"/>
  <c r="AI36" i="16" s="1"/>
  <c r="B35" i="16"/>
  <c r="L35" i="16" s="1"/>
  <c r="B34" i="16"/>
  <c r="AI34" i="16" s="1"/>
  <c r="B33" i="16"/>
  <c r="B27" i="16"/>
  <c r="B26" i="16"/>
  <c r="B25" i="16"/>
  <c r="B23" i="16"/>
  <c r="I23" i="16" s="1"/>
  <c r="B22" i="16"/>
  <c r="AL22" i="16" s="1"/>
  <c r="B21" i="16"/>
  <c r="AA21" i="16" s="1"/>
  <c r="B20" i="16"/>
  <c r="I20" i="16" s="1"/>
  <c r="B19" i="16"/>
  <c r="I19" i="16" s="1"/>
  <c r="B18" i="16"/>
  <c r="AL18" i="16" s="1"/>
  <c r="B17" i="16"/>
  <c r="AL17" i="16" s="1"/>
  <c r="B15" i="16"/>
  <c r="AL15" i="16" s="1"/>
  <c r="B12" i="16"/>
  <c r="H12" i="16" s="1"/>
  <c r="B11" i="16"/>
  <c r="H11" i="16" s="1"/>
  <c r="B10" i="16"/>
  <c r="AA10" i="16" s="1"/>
  <c r="B9" i="16"/>
  <c r="AF9" i="16" s="1"/>
  <c r="B8" i="16"/>
  <c r="AC8" i="16" s="1"/>
  <c r="B7" i="16"/>
  <c r="AC7" i="16" s="1"/>
  <c r="B5" i="16"/>
  <c r="H5" i="16" s="1"/>
  <c r="B4" i="16"/>
  <c r="AC4" i="16" s="1"/>
  <c r="B3" i="16"/>
  <c r="G3" i="16" s="1"/>
  <c r="G2" i="16" s="1"/>
  <c r="C3" i="16" s="1"/>
  <c r="K47" i="7"/>
  <c r="K37" i="7"/>
  <c r="K58" i="7"/>
  <c r="K6" i="7"/>
  <c r="K14" i="7"/>
  <c r="AD4" i="2"/>
  <c r="AN4" i="2"/>
  <c r="T4" i="2"/>
  <c r="N4" i="2"/>
  <c r="J8" i="4"/>
  <c r="B8" i="4" s="1"/>
  <c r="J7" i="4"/>
  <c r="B7" i="4" s="1"/>
  <c r="J17" i="4"/>
  <c r="J20" i="4" s="1"/>
  <c r="K2" i="1" s="1"/>
  <c r="I17" i="4"/>
  <c r="I20" i="4" s="1"/>
  <c r="I2" i="1" s="1"/>
  <c r="H17" i="4"/>
  <c r="G17" i="4"/>
  <c r="H16" i="4" s="1"/>
  <c r="F17" i="4"/>
  <c r="F22" i="4" s="1"/>
  <c r="E17" i="4"/>
  <c r="E20" i="4" s="1"/>
  <c r="E2" i="1" s="1"/>
  <c r="D17" i="4"/>
  <c r="D20" i="4" s="1"/>
  <c r="D2" i="1" s="1"/>
  <c r="J2" i="1" s="1"/>
  <c r="C17" i="4"/>
  <c r="C22" i="4" s="1"/>
  <c r="B17" i="4"/>
  <c r="B22" i="4" s="1"/>
  <c r="B12" i="4"/>
  <c r="G14" i="4"/>
  <c r="AC39" i="10"/>
  <c r="AB39" i="10"/>
  <c r="AA39" i="10"/>
  <c r="Z39" i="10"/>
  <c r="Y39" i="10"/>
  <c r="X39" i="10"/>
  <c r="W39" i="10"/>
  <c r="V39" i="10"/>
  <c r="U39" i="10"/>
  <c r="T39" i="10"/>
  <c r="S39" i="10"/>
  <c r="AC38" i="10"/>
  <c r="AB38" i="10"/>
  <c r="AA38" i="10"/>
  <c r="Z38" i="10"/>
  <c r="Y38" i="10"/>
  <c r="X38" i="10"/>
  <c r="W38" i="10"/>
  <c r="V38" i="10"/>
  <c r="U38" i="10"/>
  <c r="T38" i="10"/>
  <c r="S38" i="10"/>
  <c r="AC37" i="10"/>
  <c r="AB37" i="10"/>
  <c r="AA37" i="10"/>
  <c r="Z37" i="10"/>
  <c r="Y37" i="10"/>
  <c r="X37" i="10"/>
  <c r="W37" i="10"/>
  <c r="V37" i="10"/>
  <c r="U37" i="10"/>
  <c r="T37" i="10"/>
  <c r="S37" i="10"/>
  <c r="AC36" i="10"/>
  <c r="AB36" i="10"/>
  <c r="AA36" i="10"/>
  <c r="Z36" i="10"/>
  <c r="Y36" i="10"/>
  <c r="X36" i="10"/>
  <c r="W36" i="10"/>
  <c r="V36" i="10"/>
  <c r="U36" i="10"/>
  <c r="T36" i="10"/>
  <c r="S36" i="10"/>
  <c r="AC35" i="10"/>
  <c r="AB35" i="10"/>
  <c r="AA35" i="10"/>
  <c r="Z35" i="10"/>
  <c r="Y35" i="10"/>
  <c r="X35" i="10"/>
  <c r="W35" i="10"/>
  <c r="V35" i="10"/>
  <c r="U35" i="10"/>
  <c r="T35" i="10"/>
  <c r="S35" i="10"/>
  <c r="AC34" i="10"/>
  <c r="AB34" i="10"/>
  <c r="AA34" i="10"/>
  <c r="Z34" i="10"/>
  <c r="Y34" i="10"/>
  <c r="X34" i="10"/>
  <c r="W34" i="10"/>
  <c r="V34" i="10"/>
  <c r="U34" i="10"/>
  <c r="T34" i="10"/>
  <c r="S34" i="10"/>
  <c r="AC33" i="10"/>
  <c r="AB33" i="10"/>
  <c r="AA33" i="10"/>
  <c r="Z33" i="10"/>
  <c r="Y33" i="10"/>
  <c r="X33" i="10"/>
  <c r="W33" i="10"/>
  <c r="V33" i="10"/>
  <c r="U33" i="10"/>
  <c r="T33" i="10"/>
  <c r="S33" i="10"/>
  <c r="AC32" i="10"/>
  <c r="AB32" i="10"/>
  <c r="AA32" i="10"/>
  <c r="Z32" i="10"/>
  <c r="Y32" i="10"/>
  <c r="X32" i="10"/>
  <c r="W32" i="10"/>
  <c r="V32" i="10"/>
  <c r="U32" i="10"/>
  <c r="T32" i="10"/>
  <c r="S32" i="10"/>
  <c r="AC31" i="10"/>
  <c r="AB31" i="10"/>
  <c r="AA31" i="10"/>
  <c r="Z31" i="10"/>
  <c r="Y31" i="10"/>
  <c r="X31" i="10"/>
  <c r="W31" i="10"/>
  <c r="V31" i="10"/>
  <c r="U31" i="10"/>
  <c r="T31" i="10"/>
  <c r="S31" i="10"/>
  <c r="AC30" i="10"/>
  <c r="AB30" i="10"/>
  <c r="AA30" i="10"/>
  <c r="Z30" i="10"/>
  <c r="Y30" i="10"/>
  <c r="X30" i="10"/>
  <c r="W30" i="10"/>
  <c r="V30" i="10"/>
  <c r="U30" i="10"/>
  <c r="T30" i="10"/>
  <c r="S30" i="10"/>
  <c r="AC29" i="10"/>
  <c r="AB29" i="10"/>
  <c r="AA29" i="10"/>
  <c r="Z29" i="10"/>
  <c r="Y29" i="10"/>
  <c r="X29" i="10"/>
  <c r="W29" i="10"/>
  <c r="V29" i="10"/>
  <c r="U29" i="10"/>
  <c r="T29" i="10"/>
  <c r="S29" i="10"/>
  <c r="AC28" i="10"/>
  <c r="AB28" i="10"/>
  <c r="AA28" i="10"/>
  <c r="Z28" i="10"/>
  <c r="Y28" i="10"/>
  <c r="X28" i="10"/>
  <c r="W28" i="10"/>
  <c r="V28" i="10"/>
  <c r="U28" i="10"/>
  <c r="T28" i="10"/>
  <c r="S28" i="10"/>
  <c r="AC27" i="10"/>
  <c r="AB27" i="10"/>
  <c r="AA27" i="10"/>
  <c r="Z27" i="10"/>
  <c r="Y27" i="10"/>
  <c r="X27" i="10"/>
  <c r="W27" i="10"/>
  <c r="V27" i="10"/>
  <c r="U27" i="10"/>
  <c r="T27" i="10"/>
  <c r="S27" i="10"/>
  <c r="AC26" i="10"/>
  <c r="AB26" i="10"/>
  <c r="AA26" i="10"/>
  <c r="Z26" i="10"/>
  <c r="Y26" i="10"/>
  <c r="X26" i="10"/>
  <c r="W26" i="10"/>
  <c r="V26" i="10"/>
  <c r="U26" i="10"/>
  <c r="T26" i="10"/>
  <c r="S26" i="10"/>
  <c r="AC25" i="10"/>
  <c r="AB25" i="10"/>
  <c r="AA25" i="10"/>
  <c r="Z25" i="10"/>
  <c r="Y25" i="10"/>
  <c r="X25" i="10"/>
  <c r="W25" i="10"/>
  <c r="V25" i="10"/>
  <c r="U25" i="10"/>
  <c r="T25" i="10"/>
  <c r="S25" i="10"/>
  <c r="AC24" i="10"/>
  <c r="AB24" i="10"/>
  <c r="AA24" i="10"/>
  <c r="Z24" i="10"/>
  <c r="Y24" i="10"/>
  <c r="X24" i="10"/>
  <c r="W24" i="10"/>
  <c r="V24" i="10"/>
  <c r="U24" i="10"/>
  <c r="T24" i="10"/>
  <c r="S24" i="10"/>
  <c r="AC23" i="10"/>
  <c r="AB23" i="10"/>
  <c r="AA23" i="10"/>
  <c r="Z23" i="10"/>
  <c r="Y23" i="10"/>
  <c r="X23" i="10"/>
  <c r="W23" i="10"/>
  <c r="V23" i="10"/>
  <c r="U23" i="10"/>
  <c r="T23" i="10"/>
  <c r="S23" i="10"/>
  <c r="AC22" i="10"/>
  <c r="AB22" i="10"/>
  <c r="AA22" i="10"/>
  <c r="Z22" i="10"/>
  <c r="Y22" i="10"/>
  <c r="X22" i="10"/>
  <c r="W22" i="10"/>
  <c r="V22" i="10"/>
  <c r="U22" i="10"/>
  <c r="T22" i="10"/>
  <c r="S22" i="10"/>
  <c r="AC21" i="10"/>
  <c r="AB21" i="10"/>
  <c r="AA21" i="10"/>
  <c r="Z21" i="10"/>
  <c r="Y21" i="10"/>
  <c r="X21" i="10"/>
  <c r="W21" i="10"/>
  <c r="V21" i="10"/>
  <c r="U21" i="10"/>
  <c r="T21" i="10"/>
  <c r="S21" i="10"/>
  <c r="AC20" i="10"/>
  <c r="AB20" i="10"/>
  <c r="AA20" i="10"/>
  <c r="Z20" i="10"/>
  <c r="Y20" i="10"/>
  <c r="X20" i="10"/>
  <c r="W20" i="10"/>
  <c r="V20" i="10"/>
  <c r="U20" i="10"/>
  <c r="T20" i="10"/>
  <c r="S20" i="10"/>
  <c r="AI33" i="16" l="1"/>
  <c r="AQ33" i="16"/>
  <c r="J25" i="16"/>
  <c r="J27" i="16"/>
  <c r="AS26" i="16"/>
  <c r="AQ26" i="16"/>
  <c r="G16" i="14"/>
  <c r="H16" i="14" s="1"/>
  <c r="AI25" i="16"/>
  <c r="R78" i="16"/>
  <c r="J26" i="16"/>
  <c r="I22" i="16"/>
  <c r="AR2" i="16"/>
  <c r="H4" i="16"/>
  <c r="P66" i="16"/>
  <c r="I18" i="16"/>
  <c r="I21" i="16"/>
  <c r="N48" i="16"/>
  <c r="H8" i="16"/>
  <c r="P64" i="16"/>
  <c r="P62" i="16"/>
  <c r="S86" i="16"/>
  <c r="R74" i="16"/>
  <c r="R72" i="16"/>
  <c r="M43" i="16"/>
  <c r="I15" i="16"/>
  <c r="L33" i="16"/>
  <c r="O54" i="16"/>
  <c r="AI35" i="16"/>
  <c r="AO88" i="16"/>
  <c r="L34" i="16"/>
  <c r="R76" i="16"/>
  <c r="AB72" i="16"/>
  <c r="AI40" i="16"/>
  <c r="AJ7" i="16"/>
  <c r="AJ2" i="16" s="1"/>
  <c r="AS87" i="16"/>
  <c r="AS2" i="16" s="1"/>
  <c r="M42" i="16"/>
  <c r="R73" i="16"/>
  <c r="AC27" i="16"/>
  <c r="Y41" i="16"/>
  <c r="Y2" i="16" s="1"/>
  <c r="H7" i="16"/>
  <c r="AE56" i="16"/>
  <c r="AM79" i="16"/>
  <c r="Z47" i="16"/>
  <c r="H10" i="16"/>
  <c r="O57" i="16"/>
  <c r="Q2" i="16"/>
  <c r="AO63" i="16"/>
  <c r="L36" i="16"/>
  <c r="N45" i="16"/>
  <c r="O52" i="16"/>
  <c r="P65" i="16"/>
  <c r="S81" i="16"/>
  <c r="X55" i="16"/>
  <c r="Z49" i="16"/>
  <c r="AE50" i="16"/>
  <c r="AG61" i="16"/>
  <c r="AG2" i="16" s="1"/>
  <c r="AI37" i="16"/>
  <c r="AM75" i="16"/>
  <c r="AN67" i="16"/>
  <c r="H6" i="16"/>
  <c r="N46" i="16"/>
  <c r="O50" i="16"/>
  <c r="P58" i="16"/>
  <c r="AE51" i="16"/>
  <c r="AI39" i="16"/>
  <c r="AK85" i="16"/>
  <c r="AO61" i="16"/>
  <c r="P59" i="16"/>
  <c r="AH45" i="16"/>
  <c r="AH2" i="16" s="1"/>
  <c r="I17" i="16"/>
  <c r="P60" i="16"/>
  <c r="AC11" i="16"/>
  <c r="AM78" i="16"/>
  <c r="H9" i="16"/>
  <c r="AC12" i="16"/>
  <c r="AI68" i="16"/>
  <c r="AN59" i="16"/>
  <c r="AP51" i="16"/>
  <c r="AP2" i="16" s="1"/>
  <c r="Z46" i="16"/>
  <c r="X51" i="16"/>
  <c r="AC5" i="16"/>
  <c r="Z44" i="16"/>
  <c r="N44" i="16"/>
  <c r="K12" i="7"/>
  <c r="G4" i="4"/>
  <c r="K8" i="4"/>
  <c r="B17" i="10"/>
  <c r="C17" i="10" s="1"/>
  <c r="B13" i="10"/>
  <c r="B12" i="10"/>
  <c r="K7" i="4"/>
  <c r="D6" i="14"/>
  <c r="D22" i="4"/>
  <c r="E22" i="4"/>
  <c r="F20" i="4"/>
  <c r="I22" i="4"/>
  <c r="H20" i="4"/>
  <c r="H22" i="4"/>
  <c r="G20" i="4"/>
  <c r="G22" i="4"/>
  <c r="J22" i="4"/>
  <c r="B20" i="4"/>
  <c r="C20" i="4"/>
  <c r="AQ2" i="16" l="1"/>
  <c r="H2" i="16"/>
  <c r="X2" i="16"/>
  <c r="Z2" i="16"/>
  <c r="C70" i="16"/>
  <c r="C69" i="16"/>
  <c r="C68" i="16"/>
  <c r="C71" i="16"/>
  <c r="AO2" i="16"/>
  <c r="C88" i="16" s="1"/>
  <c r="AM2" i="16"/>
  <c r="M2" i="16"/>
  <c r="L2" i="16"/>
  <c r="P2" i="16"/>
  <c r="AI2" i="16"/>
  <c r="N2" i="16"/>
  <c r="AN2" i="16"/>
  <c r="AC2" i="16"/>
  <c r="H2" i="1"/>
  <c r="B16" i="10"/>
  <c r="G2" i="1"/>
  <c r="B15" i="10"/>
  <c r="F2" i="1"/>
  <c r="B14" i="10"/>
  <c r="C2" i="1"/>
  <c r="K19" i="7" s="1"/>
  <c r="B11" i="10"/>
  <c r="B2" i="1"/>
  <c r="B10" i="10"/>
  <c r="C43" i="16" l="1"/>
  <c r="C42" i="16"/>
  <c r="C41" i="16"/>
  <c r="C37" i="16"/>
  <c r="C36" i="16"/>
  <c r="C38" i="16"/>
  <c r="C35" i="16"/>
  <c r="C34" i="16"/>
  <c r="C33" i="16"/>
  <c r="C40" i="16"/>
  <c r="C39" i="16"/>
  <c r="C45" i="16"/>
  <c r="C44" i="16"/>
  <c r="C46" i="16"/>
  <c r="C49" i="16"/>
  <c r="C48" i="16"/>
  <c r="C47" i="16"/>
  <c r="C8" i="16"/>
  <c r="C9" i="16"/>
  <c r="C7" i="16"/>
  <c r="C6" i="16"/>
  <c r="C5" i="16"/>
  <c r="C12" i="16"/>
  <c r="C4" i="16"/>
  <c r="C11" i="16"/>
  <c r="C62" i="16"/>
  <c r="C61" i="16"/>
  <c r="C63" i="16"/>
  <c r="C60" i="16"/>
  <c r="C67" i="16"/>
  <c r="C66" i="16"/>
  <c r="C58" i="16"/>
  <c r="C65" i="16"/>
  <c r="C64" i="16"/>
  <c r="K61" i="7"/>
  <c r="K4" i="7"/>
  <c r="L129" i="9"/>
  <c r="K129" i="9"/>
  <c r="J129" i="9"/>
  <c r="I129" i="9"/>
  <c r="H129" i="9"/>
  <c r="G129" i="9"/>
  <c r="F129" i="9"/>
  <c r="E129" i="9"/>
  <c r="C129" i="9"/>
  <c r="B129" i="9"/>
  <c r="A129" i="9"/>
  <c r="A101" i="10"/>
  <c r="E36" i="15"/>
  <c r="D36" i="15"/>
  <c r="E35" i="15"/>
  <c r="D35" i="15"/>
  <c r="E34" i="15"/>
  <c r="D34" i="15"/>
  <c r="E33" i="15"/>
  <c r="D33" i="15"/>
  <c r="E32" i="15"/>
  <c r="D32" i="15"/>
  <c r="E31" i="15"/>
  <c r="D31" i="15"/>
  <c r="E30" i="15"/>
  <c r="D30" i="15"/>
  <c r="E29" i="15"/>
  <c r="D29" i="15"/>
  <c r="E28" i="15"/>
  <c r="D28" i="15"/>
  <c r="E27" i="15"/>
  <c r="D27" i="15"/>
  <c r="E26" i="15"/>
  <c r="D26" i="15"/>
  <c r="E25" i="15"/>
  <c r="D25" i="15"/>
  <c r="E24" i="15"/>
  <c r="D24" i="15"/>
  <c r="E23" i="15"/>
  <c r="D23" i="15"/>
  <c r="E22" i="15"/>
  <c r="D22" i="15"/>
  <c r="E21" i="15"/>
  <c r="D21" i="15"/>
  <c r="E20" i="15"/>
  <c r="D20" i="15"/>
  <c r="E19" i="15"/>
  <c r="D19" i="15"/>
  <c r="E18" i="15"/>
  <c r="D18" i="15"/>
  <c r="E17" i="15"/>
  <c r="D17" i="15"/>
  <c r="D59" i="7" s="1"/>
  <c r="D129" i="9" s="1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2" i="15"/>
  <c r="C33" i="15"/>
  <c r="C34" i="15"/>
  <c r="C35" i="15"/>
  <c r="C36" i="15"/>
  <c r="Q20" i="3"/>
  <c r="B101" i="10"/>
  <c r="P101" i="10"/>
  <c r="K101" i="10" s="1"/>
  <c r="M56" i="3"/>
  <c r="M54" i="3"/>
  <c r="M53" i="3"/>
  <c r="M51" i="3"/>
  <c r="M50" i="3"/>
  <c r="M49" i="3"/>
  <c r="M48" i="3"/>
  <c r="M46" i="3"/>
  <c r="M45" i="3"/>
  <c r="M44" i="3"/>
  <c r="M43" i="3"/>
  <c r="M42" i="3"/>
  <c r="M40" i="3"/>
  <c r="M39" i="3"/>
  <c r="M38" i="3"/>
  <c r="M37" i="3"/>
  <c r="M36" i="3"/>
  <c r="M35" i="3"/>
  <c r="M33" i="3"/>
  <c r="M32" i="3"/>
  <c r="M31" i="3"/>
  <c r="M30" i="3"/>
  <c r="M29" i="3"/>
  <c r="M27" i="3"/>
  <c r="M26" i="3"/>
  <c r="M25" i="3"/>
  <c r="M23" i="3"/>
  <c r="M22" i="3"/>
  <c r="M21" i="3"/>
  <c r="M19" i="3"/>
  <c r="M18" i="3"/>
  <c r="M16" i="3"/>
  <c r="M15" i="3"/>
  <c r="M14" i="3"/>
  <c r="M13" i="3"/>
  <c r="M11" i="3"/>
  <c r="M10" i="3"/>
  <c r="M9" i="3"/>
  <c r="M8" i="3"/>
  <c r="M6" i="3"/>
  <c r="M5" i="3"/>
  <c r="M4" i="3"/>
  <c r="M3" i="3"/>
  <c r="AD30" i="10"/>
  <c r="B30" i="10"/>
  <c r="R30" i="10" s="1"/>
  <c r="AD29" i="10"/>
  <c r="B29" i="10"/>
  <c r="R29" i="10" s="1"/>
  <c r="CC7" i="2"/>
  <c r="CB7" i="2"/>
  <c r="CA7" i="2"/>
  <c r="BZ7" i="2"/>
  <c r="BY7" i="2"/>
  <c r="BX7" i="2"/>
  <c r="BW7" i="2"/>
  <c r="U5" i="14"/>
  <c r="U6" i="14"/>
  <c r="U4" i="14"/>
  <c r="U3" i="14"/>
  <c r="U2" i="14"/>
  <c r="U1" i="14"/>
  <c r="A12" i="9"/>
  <c r="AD5" i="6"/>
  <c r="AE5" i="6" s="1"/>
  <c r="AC5" i="6"/>
  <c r="CC3" i="2"/>
  <c r="CB3" i="2"/>
  <c r="CA3" i="2"/>
  <c r="BZ3" i="2"/>
  <c r="BY3" i="2"/>
  <c r="BX3" i="2"/>
  <c r="BW3" i="2"/>
  <c r="AC3" i="2"/>
  <c r="AA3" i="2"/>
  <c r="AQ3" i="2"/>
  <c r="N7" i="9" s="1"/>
  <c r="AR6" i="12"/>
  <c r="AR5" i="12"/>
  <c r="AR4" i="12"/>
  <c r="AR3" i="12"/>
  <c r="AR2" i="12"/>
  <c r="AO6" i="12"/>
  <c r="AO5" i="12"/>
  <c r="AO4" i="12"/>
  <c r="AO3" i="12"/>
  <c r="AO2" i="12"/>
  <c r="O19" i="14" l="1"/>
  <c r="P19" i="14" s="1"/>
  <c r="O18" i="14"/>
  <c r="P18" i="14" s="1"/>
  <c r="L101" i="10"/>
  <c r="R2" i="3"/>
  <c r="AE30" i="10"/>
  <c r="AF30" i="10" s="1"/>
  <c r="AG30" i="10" s="1"/>
  <c r="AH30" i="10" s="1"/>
  <c r="AI30" i="10" s="1"/>
  <c r="AJ30" i="10" s="1"/>
  <c r="AK30" i="10" s="1"/>
  <c r="AL30" i="10" s="1"/>
  <c r="AM30" i="10" s="1"/>
  <c r="AN30" i="10" s="1"/>
  <c r="AE29" i="10"/>
  <c r="AF29" i="10" s="1"/>
  <c r="AG29" i="10" s="1"/>
  <c r="AH29" i="10" s="1"/>
  <c r="AI29" i="10" s="1"/>
  <c r="AJ29" i="10" s="1"/>
  <c r="AK29" i="10" s="1"/>
  <c r="AL29" i="10" s="1"/>
  <c r="AM29" i="10" s="1"/>
  <c r="AN29" i="10" s="1"/>
  <c r="K29" i="10"/>
  <c r="H29" i="10" s="1"/>
  <c r="G29" i="10"/>
  <c r="P29" i="10"/>
  <c r="M29" i="10" s="1"/>
  <c r="P30" i="10"/>
  <c r="M30" i="10" s="1"/>
  <c r="K30" i="10"/>
  <c r="H30" i="10" s="1"/>
  <c r="G30" i="10"/>
  <c r="E34" i="2"/>
  <c r="E47" i="2"/>
  <c r="D51" i="2"/>
  <c r="E51" i="2"/>
  <c r="C39" i="2"/>
  <c r="E39" i="2"/>
  <c r="E38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D34" i="2"/>
  <c r="L181" i="9" s="1"/>
  <c r="C34" i="2"/>
  <c r="K181" i="9" s="1"/>
  <c r="L183" i="9"/>
  <c r="K183" i="9"/>
  <c r="L182" i="9"/>
  <c r="K182" i="9"/>
  <c r="F183" i="9"/>
  <c r="F182" i="9"/>
  <c r="B34" i="2"/>
  <c r="F181" i="9" s="1"/>
  <c r="BM3" i="2"/>
  <c r="BN3" i="2"/>
  <c r="BV3" i="2"/>
  <c r="BU3" i="2"/>
  <c r="BT3" i="2"/>
  <c r="BS3" i="2"/>
  <c r="BR3" i="2"/>
  <c r="BL3" i="2"/>
  <c r="Q3" i="9" s="1"/>
  <c r="BK3" i="2"/>
  <c r="N10" i="9" s="1"/>
  <c r="BJ3" i="2"/>
  <c r="Q10" i="9" s="1"/>
  <c r="BI3" i="2"/>
  <c r="Q9" i="9" s="1"/>
  <c r="BH3" i="2"/>
  <c r="BG3" i="2"/>
  <c r="BF3" i="2"/>
  <c r="BE3" i="2"/>
  <c r="BD3" i="2"/>
  <c r="BC3" i="2"/>
  <c r="BB3" i="2"/>
  <c r="BA3" i="2"/>
  <c r="AZ3" i="2"/>
  <c r="AY3" i="2"/>
  <c r="AX3" i="2"/>
  <c r="AW3" i="2"/>
  <c r="AV3" i="2"/>
  <c r="AU3" i="2"/>
  <c r="AT3" i="2"/>
  <c r="AS3" i="2"/>
  <c r="AR3" i="2"/>
  <c r="AP3" i="2"/>
  <c r="AO3" i="2"/>
  <c r="N6" i="9" s="1"/>
  <c r="AN3" i="2"/>
  <c r="N5" i="9" s="1"/>
  <c r="AM3" i="2"/>
  <c r="AL3" i="2"/>
  <c r="AJ3" i="2"/>
  <c r="AI3" i="2"/>
  <c r="AH3" i="2"/>
  <c r="AG3" i="2"/>
  <c r="AF3" i="2"/>
  <c r="AE3" i="2"/>
  <c r="S3" i="2"/>
  <c r="R3" i="2"/>
  <c r="Q3" i="2"/>
  <c r="P3" i="2"/>
  <c r="AB3" i="2"/>
  <c r="Q13" i="9" s="1"/>
  <c r="Z3" i="2"/>
  <c r="Q12" i="9" s="1"/>
  <c r="Y3" i="2"/>
  <c r="X3" i="2"/>
  <c r="W3" i="2"/>
  <c r="V3" i="2"/>
  <c r="U3" i="2"/>
  <c r="Q2" i="9" s="1"/>
  <c r="O3" i="2"/>
  <c r="M3" i="2"/>
  <c r="L3" i="2"/>
  <c r="K3" i="2"/>
  <c r="J3" i="2"/>
  <c r="H3" i="2"/>
  <c r="G3" i="2"/>
  <c r="F3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E30" i="10" l="1"/>
  <c r="E29" i="10"/>
  <c r="L30" i="10"/>
  <c r="F30" i="10" s="1"/>
  <c r="L29" i="10"/>
  <c r="F29" i="10" s="1"/>
  <c r="E3" i="2"/>
  <c r="Q13" i="14"/>
  <c r="B5" i="6"/>
  <c r="P13" i="14"/>
  <c r="N8" i="9"/>
  <c r="R13" i="14"/>
  <c r="AN5" i="12"/>
  <c r="AN6" i="12"/>
  <c r="Q4" i="9"/>
  <c r="AQ4" i="12"/>
  <c r="AN3" i="12"/>
  <c r="N12" i="9"/>
  <c r="Q6" i="9"/>
  <c r="AQ3" i="12"/>
  <c r="AQ5" i="12"/>
  <c r="AQ6" i="12"/>
  <c r="AN4" i="12"/>
  <c r="N13" i="9"/>
  <c r="Q5" i="9"/>
  <c r="AQ2" i="12"/>
  <c r="N9" i="9"/>
  <c r="N11" i="9"/>
  <c r="AN2" i="12"/>
  <c r="H72" i="7"/>
  <c r="N31" i="14" s="1"/>
  <c r="M31" i="14" s="1"/>
  <c r="G26" i="14"/>
  <c r="A26" i="14"/>
  <c r="G30" i="14"/>
  <c r="A30" i="14"/>
  <c r="G28" i="14"/>
  <c r="A28" i="14"/>
  <c r="N80" i="14" l="1"/>
  <c r="L80" i="14"/>
  <c r="J80" i="14"/>
  <c r="B80" i="14"/>
  <c r="A80" i="14"/>
  <c r="N79" i="14"/>
  <c r="L79" i="14"/>
  <c r="J79" i="14"/>
  <c r="B79" i="14"/>
  <c r="A79" i="14"/>
  <c r="N78" i="14"/>
  <c r="L78" i="14"/>
  <c r="J78" i="14"/>
  <c r="I78" i="14"/>
  <c r="H78" i="14"/>
  <c r="G78" i="14"/>
  <c r="B78" i="14"/>
  <c r="A78" i="14"/>
  <c r="L77" i="14"/>
  <c r="J77" i="14"/>
  <c r="B77" i="14"/>
  <c r="A77" i="14"/>
  <c r="N76" i="14"/>
  <c r="L76" i="14"/>
  <c r="J76" i="14"/>
  <c r="I76" i="14"/>
  <c r="H76" i="14"/>
  <c r="G76" i="14"/>
  <c r="B76" i="14"/>
  <c r="A76" i="14"/>
  <c r="L75" i="14"/>
  <c r="J75" i="14"/>
  <c r="I75" i="14"/>
  <c r="H75" i="14"/>
  <c r="G75" i="14"/>
  <c r="B75" i="14"/>
  <c r="A75" i="14"/>
  <c r="N74" i="14"/>
  <c r="M74" i="14"/>
  <c r="L74" i="14"/>
  <c r="K74" i="14"/>
  <c r="J74" i="14"/>
  <c r="I74" i="14"/>
  <c r="H74" i="14"/>
  <c r="G74" i="14"/>
  <c r="A74" i="14"/>
  <c r="B74" i="14"/>
  <c r="N54" i="14"/>
  <c r="L54" i="14"/>
  <c r="J54" i="14"/>
  <c r="B54" i="14"/>
  <c r="A54" i="14"/>
  <c r="N53" i="14"/>
  <c r="L53" i="14"/>
  <c r="J53" i="14"/>
  <c r="B53" i="14"/>
  <c r="A53" i="14"/>
  <c r="N52" i="14"/>
  <c r="B52" i="14"/>
  <c r="A52" i="14"/>
  <c r="L51" i="14"/>
  <c r="J51" i="14"/>
  <c r="B51" i="14"/>
  <c r="A51" i="14"/>
  <c r="N50" i="14"/>
  <c r="L50" i="14"/>
  <c r="J50" i="14"/>
  <c r="B50" i="14"/>
  <c r="A50" i="14"/>
  <c r="N49" i="14"/>
  <c r="L49" i="14"/>
  <c r="B49" i="14"/>
  <c r="A49" i="14"/>
  <c r="L48" i="14"/>
  <c r="B48" i="14"/>
  <c r="A48" i="14"/>
  <c r="N47" i="14"/>
  <c r="B47" i="14"/>
  <c r="A47" i="14"/>
  <c r="B46" i="14"/>
  <c r="A46" i="14"/>
  <c r="B45" i="14"/>
  <c r="A45" i="14"/>
  <c r="J44" i="14"/>
  <c r="B44" i="14"/>
  <c r="A44" i="14"/>
  <c r="B43" i="14"/>
  <c r="A43" i="14"/>
  <c r="J42" i="14"/>
  <c r="B42" i="14"/>
  <c r="A42" i="14"/>
  <c r="N41" i="14"/>
  <c r="B41" i="14"/>
  <c r="A41" i="14"/>
  <c r="B40" i="14"/>
  <c r="A40" i="14"/>
  <c r="N39" i="14"/>
  <c r="J39" i="14"/>
  <c r="B39" i="14"/>
  <c r="A39" i="14"/>
  <c r="B38" i="14"/>
  <c r="A38" i="14"/>
  <c r="J37" i="14"/>
  <c r="B37" i="14"/>
  <c r="A37" i="14"/>
  <c r="N36" i="14"/>
  <c r="L36" i="14"/>
  <c r="J36" i="14"/>
  <c r="B36" i="14"/>
  <c r="A36" i="14"/>
  <c r="L35" i="14"/>
  <c r="J35" i="14"/>
  <c r="B35" i="14"/>
  <c r="A35" i="14"/>
  <c r="N34" i="14"/>
  <c r="L34" i="14"/>
  <c r="J34" i="14"/>
  <c r="B34" i="14"/>
  <c r="A34" i="14"/>
  <c r="B33" i="14"/>
  <c r="K72" i="14"/>
  <c r="K71" i="14"/>
  <c r="K70" i="14"/>
  <c r="K69" i="14"/>
  <c r="K68" i="14"/>
  <c r="K67" i="14"/>
  <c r="K66" i="14"/>
  <c r="K65" i="14"/>
  <c r="K64" i="14"/>
  <c r="K63" i="14"/>
  <c r="K62" i="14"/>
  <c r="K61" i="14"/>
  <c r="K60" i="14"/>
  <c r="K59" i="14"/>
  <c r="K58" i="14"/>
  <c r="K57" i="14"/>
  <c r="B72" i="14"/>
  <c r="B71" i="14"/>
  <c r="B70" i="14"/>
  <c r="B69" i="14"/>
  <c r="B68" i="14"/>
  <c r="B67" i="14"/>
  <c r="B66" i="14"/>
  <c r="B65" i="14"/>
  <c r="B64" i="14"/>
  <c r="B63" i="14"/>
  <c r="B62" i="14"/>
  <c r="B61" i="14"/>
  <c r="B60" i="14"/>
  <c r="B59" i="14"/>
  <c r="B58" i="14"/>
  <c r="B57" i="14"/>
  <c r="F56" i="14"/>
  <c r="E56" i="14"/>
  <c r="J72" i="14"/>
  <c r="A72" i="14"/>
  <c r="J71" i="14"/>
  <c r="A71" i="14"/>
  <c r="J70" i="14"/>
  <c r="A70" i="14"/>
  <c r="J69" i="14"/>
  <c r="A69" i="14"/>
  <c r="J68" i="14"/>
  <c r="A68" i="14"/>
  <c r="J67" i="14"/>
  <c r="A67" i="14"/>
  <c r="J66" i="14"/>
  <c r="A66" i="14"/>
  <c r="J65" i="14"/>
  <c r="A65" i="14"/>
  <c r="J64" i="14"/>
  <c r="A64" i="14"/>
  <c r="J63" i="14"/>
  <c r="A63" i="14"/>
  <c r="J62" i="14"/>
  <c r="A62" i="14"/>
  <c r="J61" i="14"/>
  <c r="A61" i="14"/>
  <c r="J60" i="14"/>
  <c r="A60" i="14"/>
  <c r="J59" i="14"/>
  <c r="A59" i="14"/>
  <c r="J58" i="14"/>
  <c r="A58" i="14"/>
  <c r="J57" i="14"/>
  <c r="A57" i="14"/>
  <c r="G31" i="14"/>
  <c r="G29" i="14"/>
  <c r="G27" i="14"/>
  <c r="G25" i="14"/>
  <c r="G24" i="14"/>
  <c r="G23" i="14"/>
  <c r="G22" i="14"/>
  <c r="A31" i="14"/>
  <c r="A29" i="14"/>
  <c r="A27" i="14"/>
  <c r="A25" i="14"/>
  <c r="A24" i="14"/>
  <c r="A23" i="14"/>
  <c r="A22" i="14"/>
  <c r="P15" i="14"/>
  <c r="L15" i="14"/>
  <c r="H15" i="14"/>
  <c r="C20" i="14"/>
  <c r="C19" i="14"/>
  <c r="C18" i="14"/>
  <c r="C17" i="14"/>
  <c r="C16" i="14"/>
  <c r="R11" i="14"/>
  <c r="Q11" i="14"/>
  <c r="P11" i="14"/>
  <c r="M11" i="14"/>
  <c r="A2" i="14"/>
  <c r="R101" i="14"/>
  <c r="Q101" i="14"/>
  <c r="K101" i="14"/>
  <c r="I101" i="14"/>
  <c r="H101" i="14"/>
  <c r="A101" i="14"/>
  <c r="R100" i="14"/>
  <c r="Q100" i="14"/>
  <c r="K100" i="14"/>
  <c r="I100" i="14"/>
  <c r="H100" i="14"/>
  <c r="A100" i="14"/>
  <c r="R99" i="14"/>
  <c r="Q99" i="14"/>
  <c r="K99" i="14"/>
  <c r="I99" i="14"/>
  <c r="H99" i="14"/>
  <c r="A99" i="14"/>
  <c r="R98" i="14"/>
  <c r="Q98" i="14"/>
  <c r="K98" i="14"/>
  <c r="I98" i="14"/>
  <c r="H98" i="14"/>
  <c r="A98" i="14"/>
  <c r="Q97" i="14"/>
  <c r="K97" i="14"/>
  <c r="I97" i="14"/>
  <c r="H97" i="14"/>
  <c r="A97" i="14"/>
  <c r="R96" i="14"/>
  <c r="Q96" i="14"/>
  <c r="K96" i="14"/>
  <c r="I96" i="14"/>
  <c r="H96" i="14"/>
  <c r="A96" i="14"/>
  <c r="R95" i="14"/>
  <c r="Q95" i="14"/>
  <c r="K95" i="14"/>
  <c r="I95" i="14"/>
  <c r="H95" i="14"/>
  <c r="A95" i="14"/>
  <c r="R94" i="14"/>
  <c r="Q94" i="14"/>
  <c r="K94" i="14"/>
  <c r="I94" i="14"/>
  <c r="H94" i="14"/>
  <c r="A94" i="14"/>
  <c r="R93" i="14"/>
  <c r="Q93" i="14"/>
  <c r="K93" i="14"/>
  <c r="I93" i="14"/>
  <c r="H93" i="14"/>
  <c r="A93" i="14"/>
  <c r="R92" i="14"/>
  <c r="Q92" i="14"/>
  <c r="K92" i="14"/>
  <c r="I92" i="14"/>
  <c r="H92" i="14"/>
  <c r="A92" i="14"/>
  <c r="R91" i="14"/>
  <c r="Q91" i="14"/>
  <c r="K91" i="14"/>
  <c r="I91" i="14"/>
  <c r="H91" i="14"/>
  <c r="A91" i="14"/>
  <c r="R90" i="14"/>
  <c r="Q90" i="14"/>
  <c r="K90" i="14"/>
  <c r="I90" i="14"/>
  <c r="H90" i="14"/>
  <c r="A90" i="14"/>
  <c r="R89" i="14"/>
  <c r="Q89" i="14"/>
  <c r="K89" i="14"/>
  <c r="I89" i="14"/>
  <c r="H89" i="14"/>
  <c r="A89" i="14"/>
  <c r="R88" i="14"/>
  <c r="Q88" i="14"/>
  <c r="K88" i="14"/>
  <c r="I88" i="14"/>
  <c r="H88" i="14"/>
  <c r="A88" i="14"/>
  <c r="R87" i="14"/>
  <c r="Q87" i="14"/>
  <c r="K87" i="14"/>
  <c r="I87" i="14"/>
  <c r="H87" i="14"/>
  <c r="A87" i="14"/>
  <c r="R86" i="14"/>
  <c r="Q86" i="14"/>
  <c r="K86" i="14"/>
  <c r="I86" i="14"/>
  <c r="H86" i="14"/>
  <c r="A86" i="14"/>
  <c r="R85" i="14"/>
  <c r="Q85" i="14"/>
  <c r="K85" i="14"/>
  <c r="I85" i="14"/>
  <c r="H85" i="14"/>
  <c r="A85" i="14"/>
  <c r="R84" i="14"/>
  <c r="Q84" i="14"/>
  <c r="K84" i="14"/>
  <c r="I84" i="14"/>
  <c r="A84" i="14"/>
  <c r="M21" i="14"/>
  <c r="H21" i="14"/>
  <c r="G21" i="14"/>
  <c r="B21" i="14"/>
  <c r="A21" i="14"/>
  <c r="O15" i="14"/>
  <c r="K15" i="14"/>
  <c r="G15" i="14"/>
  <c r="C15" i="14"/>
  <c r="B15" i="14"/>
  <c r="A15" i="14"/>
  <c r="R12" i="14"/>
  <c r="Q12" i="14"/>
  <c r="P12" i="14"/>
  <c r="M12" i="14"/>
  <c r="R10" i="14"/>
  <c r="Q10" i="14"/>
  <c r="P10" i="14"/>
  <c r="M10" i="14"/>
  <c r="R9" i="14"/>
  <c r="Q9" i="14"/>
  <c r="P9" i="14"/>
  <c r="M9" i="14"/>
  <c r="F6" i="14"/>
  <c r="A5" i="14"/>
  <c r="Q4" i="14"/>
  <c r="O4" i="14"/>
  <c r="M4" i="14"/>
  <c r="K4" i="14"/>
  <c r="A4" i="14"/>
  <c r="A3" i="14"/>
  <c r="Q1" i="14"/>
  <c r="O1" i="14"/>
  <c r="M1" i="14"/>
  <c r="K1" i="14"/>
  <c r="I1" i="14"/>
  <c r="G1" i="14"/>
  <c r="A1" i="14"/>
  <c r="T283" i="8" l="1"/>
  <c r="T282" i="8"/>
  <c r="T281" i="8"/>
  <c r="T280" i="8"/>
  <c r="T279" i="8"/>
  <c r="T278" i="8"/>
  <c r="T277" i="8"/>
  <c r="T276" i="8"/>
  <c r="T275" i="8"/>
  <c r="T274" i="8"/>
  <c r="T273" i="8"/>
  <c r="T272" i="8"/>
  <c r="T271" i="8"/>
  <c r="E2" i="8" l="1"/>
  <c r="F2" i="8"/>
  <c r="A36" i="9"/>
  <c r="F44" i="9"/>
  <c r="A63" i="9"/>
  <c r="A44" i="9"/>
  <c r="B64" i="9"/>
  <c r="A60" i="9"/>
  <c r="B37" i="9"/>
  <c r="A62" i="9"/>
  <c r="A45" i="9"/>
  <c r="B54" i="9"/>
  <c r="B61" i="9"/>
  <c r="A43" i="9"/>
  <c r="B40" i="9"/>
  <c r="A47" i="9"/>
  <c r="A35" i="9"/>
  <c r="A69" i="9"/>
  <c r="A58" i="9"/>
  <c r="B67" i="9"/>
  <c r="J62" i="9"/>
  <c r="B42" i="9"/>
  <c r="B66" i="9"/>
  <c r="A39" i="9"/>
  <c r="A37" i="9"/>
  <c r="H62" i="9"/>
  <c r="B60" i="9"/>
  <c r="J63" i="9"/>
  <c r="A53" i="9"/>
  <c r="B50" i="9"/>
  <c r="B52" i="9"/>
  <c r="A49" i="9"/>
  <c r="B47" i="9"/>
  <c r="A66" i="9"/>
  <c r="A48" i="9"/>
  <c r="B32" i="9"/>
  <c r="B39" i="9"/>
  <c r="B36" i="9"/>
  <c r="A67" i="9"/>
  <c r="B62" i="9"/>
  <c r="A61" i="9"/>
  <c r="B69" i="9"/>
  <c r="J66" i="9"/>
  <c r="A55" i="9"/>
  <c r="J56" i="9"/>
  <c r="B49" i="9"/>
  <c r="A57" i="9"/>
  <c r="A65" i="9"/>
  <c r="A56" i="9"/>
  <c r="A34" i="9"/>
  <c r="H45" i="9"/>
  <c r="A59" i="9"/>
  <c r="B59" i="9"/>
  <c r="A46" i="9"/>
  <c r="A54" i="9"/>
  <c r="B56" i="9"/>
  <c r="J33" i="9"/>
  <c r="A52" i="9"/>
  <c r="J67" i="9"/>
  <c r="B65" i="9"/>
  <c r="B55" i="9"/>
  <c r="J53" i="9"/>
  <c r="J68" i="9"/>
  <c r="A31" i="9"/>
  <c r="A50" i="9"/>
  <c r="A41" i="9"/>
  <c r="B53" i="9"/>
  <c r="B38" i="9"/>
  <c r="B63" i="9"/>
  <c r="A40" i="9"/>
  <c r="A51" i="9"/>
  <c r="B33" i="9"/>
  <c r="J32" i="9"/>
  <c r="B35" i="9"/>
  <c r="B57" i="9"/>
  <c r="J61" i="9"/>
  <c r="J65" i="9"/>
  <c r="B43" i="9"/>
  <c r="B51" i="9"/>
  <c r="A32" i="9"/>
  <c r="B44" i="9"/>
  <c r="A68" i="9"/>
  <c r="B46" i="9"/>
  <c r="J35" i="9"/>
  <c r="J58" i="9"/>
  <c r="B34" i="9"/>
  <c r="H39" i="9"/>
  <c r="K72" i="8" l="1"/>
  <c r="I72" i="8" s="1"/>
  <c r="N38" i="14" s="1"/>
  <c r="A42" i="9"/>
  <c r="H46" i="9"/>
  <c r="A64" i="9"/>
  <c r="B48" i="9"/>
  <c r="B41" i="9"/>
  <c r="J64" i="9"/>
  <c r="J49" i="9"/>
  <c r="B68" i="9"/>
  <c r="J51" i="9"/>
  <c r="A33" i="9"/>
  <c r="A38" i="9"/>
  <c r="B45" i="9"/>
  <c r="J40" i="9"/>
  <c r="B58" i="9"/>
  <c r="AC60" i="10" l="1"/>
  <c r="AB60" i="10"/>
  <c r="AA60" i="10"/>
  <c r="Z60" i="10"/>
  <c r="Y60" i="10"/>
  <c r="X60" i="10"/>
  <c r="W60" i="10"/>
  <c r="V60" i="10"/>
  <c r="U60" i="10"/>
  <c r="T60" i="10"/>
  <c r="S60" i="10"/>
  <c r="AD60" i="10" s="1"/>
  <c r="AC59" i="10"/>
  <c r="AB59" i="10"/>
  <c r="AA59" i="10"/>
  <c r="Z59" i="10"/>
  <c r="Y59" i="10"/>
  <c r="X59" i="10"/>
  <c r="W59" i="10"/>
  <c r="V59" i="10"/>
  <c r="U59" i="10"/>
  <c r="T59" i="10"/>
  <c r="S59" i="10"/>
  <c r="AD59" i="10" s="1"/>
  <c r="AC58" i="10"/>
  <c r="AB58" i="10"/>
  <c r="AA58" i="10"/>
  <c r="Z58" i="10"/>
  <c r="Y58" i="10"/>
  <c r="X58" i="10"/>
  <c r="W58" i="10"/>
  <c r="V58" i="10"/>
  <c r="U58" i="10"/>
  <c r="T58" i="10"/>
  <c r="S58" i="10"/>
  <c r="AD58" i="10" s="1"/>
  <c r="AC57" i="10"/>
  <c r="AB57" i="10"/>
  <c r="AA57" i="10"/>
  <c r="Z57" i="10"/>
  <c r="Y57" i="10"/>
  <c r="X57" i="10"/>
  <c r="W57" i="10"/>
  <c r="V57" i="10"/>
  <c r="U57" i="10"/>
  <c r="T57" i="10"/>
  <c r="S57" i="10"/>
  <c r="AD57" i="10" s="1"/>
  <c r="AC56" i="10"/>
  <c r="AB56" i="10"/>
  <c r="AA56" i="10"/>
  <c r="Z56" i="10"/>
  <c r="Y56" i="10"/>
  <c r="X56" i="10"/>
  <c r="W56" i="10"/>
  <c r="V56" i="10"/>
  <c r="U56" i="10"/>
  <c r="T56" i="10"/>
  <c r="S56" i="10"/>
  <c r="AD56" i="10" s="1"/>
  <c r="AC55" i="10"/>
  <c r="AB55" i="10"/>
  <c r="AA55" i="10"/>
  <c r="Z55" i="10"/>
  <c r="Y55" i="10"/>
  <c r="X55" i="10"/>
  <c r="W55" i="10"/>
  <c r="V55" i="10"/>
  <c r="U55" i="10"/>
  <c r="T55" i="10"/>
  <c r="S55" i="10"/>
  <c r="AD55" i="10" s="1"/>
  <c r="AC54" i="10"/>
  <c r="AB54" i="10"/>
  <c r="AA54" i="10"/>
  <c r="Z54" i="10"/>
  <c r="Y54" i="10"/>
  <c r="X54" i="10"/>
  <c r="W54" i="10"/>
  <c r="V54" i="10"/>
  <c r="U54" i="10"/>
  <c r="T54" i="10"/>
  <c r="S54" i="10"/>
  <c r="AD54" i="10" s="1"/>
  <c r="AC53" i="10"/>
  <c r="AB53" i="10"/>
  <c r="AA53" i="10"/>
  <c r="Z53" i="10"/>
  <c r="Y53" i="10"/>
  <c r="X53" i="10"/>
  <c r="W53" i="10"/>
  <c r="V53" i="10"/>
  <c r="U53" i="10"/>
  <c r="T53" i="10"/>
  <c r="S53" i="10"/>
  <c r="AD53" i="10" s="1"/>
  <c r="AC52" i="10"/>
  <c r="AB52" i="10"/>
  <c r="AA52" i="10"/>
  <c r="Z52" i="10"/>
  <c r="Y52" i="10"/>
  <c r="X52" i="10"/>
  <c r="W52" i="10"/>
  <c r="V52" i="10"/>
  <c r="U52" i="10"/>
  <c r="T52" i="10"/>
  <c r="S52" i="10"/>
  <c r="AD52" i="10" s="1"/>
  <c r="AC51" i="10"/>
  <c r="AB51" i="10"/>
  <c r="AA51" i="10"/>
  <c r="Z51" i="10"/>
  <c r="Y51" i="10"/>
  <c r="X51" i="10"/>
  <c r="W51" i="10"/>
  <c r="V51" i="10"/>
  <c r="U51" i="10"/>
  <c r="T51" i="10"/>
  <c r="S51" i="10"/>
  <c r="AD51" i="10" s="1"/>
  <c r="AC50" i="10"/>
  <c r="AB50" i="10"/>
  <c r="AA50" i="10"/>
  <c r="Z50" i="10"/>
  <c r="Y50" i="10"/>
  <c r="X50" i="10"/>
  <c r="W50" i="10"/>
  <c r="V50" i="10"/>
  <c r="U50" i="10"/>
  <c r="T50" i="10"/>
  <c r="S50" i="10"/>
  <c r="AD50" i="10" s="1"/>
  <c r="AC49" i="10"/>
  <c r="AB49" i="10"/>
  <c r="AA49" i="10"/>
  <c r="Z49" i="10"/>
  <c r="Y49" i="10"/>
  <c r="X49" i="10"/>
  <c r="W49" i="10"/>
  <c r="V49" i="10"/>
  <c r="U49" i="10"/>
  <c r="T49" i="10"/>
  <c r="S49" i="10"/>
  <c r="AD49" i="10" s="1"/>
  <c r="AC48" i="10"/>
  <c r="AB48" i="10"/>
  <c r="AA48" i="10"/>
  <c r="Z48" i="10"/>
  <c r="Y48" i="10"/>
  <c r="X48" i="10"/>
  <c r="W48" i="10"/>
  <c r="V48" i="10"/>
  <c r="U48" i="10"/>
  <c r="T48" i="10"/>
  <c r="S48" i="10"/>
  <c r="AD48" i="10" s="1"/>
  <c r="AC47" i="10"/>
  <c r="AB47" i="10"/>
  <c r="AA47" i="10"/>
  <c r="Z47" i="10"/>
  <c r="Y47" i="10"/>
  <c r="X47" i="10"/>
  <c r="W47" i="10"/>
  <c r="V47" i="10"/>
  <c r="U47" i="10"/>
  <c r="T47" i="10"/>
  <c r="S47" i="10"/>
  <c r="AD47" i="10" s="1"/>
  <c r="AC46" i="10"/>
  <c r="AB46" i="10"/>
  <c r="AA46" i="10"/>
  <c r="Z46" i="10"/>
  <c r="Y46" i="10"/>
  <c r="X46" i="10"/>
  <c r="W46" i="10"/>
  <c r="V46" i="10"/>
  <c r="U46" i="10"/>
  <c r="T46" i="10"/>
  <c r="S46" i="10"/>
  <c r="AD46" i="10" s="1"/>
  <c r="AC45" i="10"/>
  <c r="AB45" i="10"/>
  <c r="AA45" i="10"/>
  <c r="Z45" i="10"/>
  <c r="Y45" i="10"/>
  <c r="X45" i="10"/>
  <c r="W45" i="10"/>
  <c r="V45" i="10"/>
  <c r="U45" i="10"/>
  <c r="T45" i="10"/>
  <c r="S45" i="10"/>
  <c r="AD45" i="10" s="1"/>
  <c r="AC44" i="10"/>
  <c r="AB44" i="10"/>
  <c r="AA44" i="10"/>
  <c r="Z44" i="10"/>
  <c r="Y44" i="10"/>
  <c r="X44" i="10"/>
  <c r="W44" i="10"/>
  <c r="V44" i="10"/>
  <c r="U44" i="10"/>
  <c r="T44" i="10"/>
  <c r="S44" i="10"/>
  <c r="AD44" i="10" s="1"/>
  <c r="AC43" i="10"/>
  <c r="AB43" i="10"/>
  <c r="AA43" i="10"/>
  <c r="Z43" i="10"/>
  <c r="Y43" i="10"/>
  <c r="X43" i="10"/>
  <c r="W43" i="10"/>
  <c r="V43" i="10"/>
  <c r="U43" i="10"/>
  <c r="T43" i="10"/>
  <c r="S43" i="10"/>
  <c r="AD43" i="10" s="1"/>
  <c r="AE60" i="10" l="1"/>
  <c r="AF60" i="10" s="1"/>
  <c r="AG60" i="10" s="1"/>
  <c r="AH60" i="10" s="1"/>
  <c r="AI60" i="10" s="1"/>
  <c r="AJ60" i="10" s="1"/>
  <c r="AK60" i="10" s="1"/>
  <c r="AL60" i="10" s="1"/>
  <c r="AM60" i="10" s="1"/>
  <c r="AN60" i="10" s="1"/>
  <c r="AE57" i="10"/>
  <c r="AF57" i="10" s="1"/>
  <c r="AG57" i="10" s="1"/>
  <c r="AH57" i="10" s="1"/>
  <c r="AI57" i="10" s="1"/>
  <c r="AJ57" i="10" s="1"/>
  <c r="AK57" i="10" s="1"/>
  <c r="AL57" i="10" s="1"/>
  <c r="AM57" i="10" s="1"/>
  <c r="AN57" i="10" s="1"/>
  <c r="AE55" i="10"/>
  <c r="AF55" i="10" s="1"/>
  <c r="AG55" i="10" s="1"/>
  <c r="AH55" i="10" s="1"/>
  <c r="AI55" i="10" s="1"/>
  <c r="AJ55" i="10" s="1"/>
  <c r="AK55" i="10" s="1"/>
  <c r="AL55" i="10" s="1"/>
  <c r="AM55" i="10" s="1"/>
  <c r="AN55" i="10" s="1"/>
  <c r="AE54" i="10"/>
  <c r="AF54" i="10" s="1"/>
  <c r="AG54" i="10" s="1"/>
  <c r="AH54" i="10" s="1"/>
  <c r="AI54" i="10" s="1"/>
  <c r="AJ54" i="10" s="1"/>
  <c r="AK54" i="10" s="1"/>
  <c r="AL54" i="10" s="1"/>
  <c r="AM54" i="10" s="1"/>
  <c r="AN54" i="10" s="1"/>
  <c r="AE46" i="10"/>
  <c r="AF46" i="10" s="1"/>
  <c r="AG46" i="10" s="1"/>
  <c r="AH46" i="10" s="1"/>
  <c r="AI46" i="10" s="1"/>
  <c r="AJ46" i="10" s="1"/>
  <c r="AK46" i="10" s="1"/>
  <c r="AL46" i="10" s="1"/>
  <c r="AM46" i="10" s="1"/>
  <c r="AN46" i="10" s="1"/>
  <c r="AE59" i="10"/>
  <c r="AF59" i="10" s="1"/>
  <c r="AG59" i="10" s="1"/>
  <c r="AH59" i="10" s="1"/>
  <c r="AI59" i="10" s="1"/>
  <c r="AJ59" i="10" s="1"/>
  <c r="AK59" i="10" s="1"/>
  <c r="AL59" i="10" s="1"/>
  <c r="AM59" i="10" s="1"/>
  <c r="AN59" i="10" s="1"/>
  <c r="AE49" i="10"/>
  <c r="AF49" i="10" s="1"/>
  <c r="AG49" i="10" s="1"/>
  <c r="AH49" i="10" s="1"/>
  <c r="AI49" i="10" s="1"/>
  <c r="AJ49" i="10" s="1"/>
  <c r="AK49" i="10" s="1"/>
  <c r="AL49" i="10" s="1"/>
  <c r="AM49" i="10" s="1"/>
  <c r="AN49" i="10" s="1"/>
  <c r="AE52" i="10"/>
  <c r="AF52" i="10" s="1"/>
  <c r="AG52" i="10" s="1"/>
  <c r="AH52" i="10" s="1"/>
  <c r="AI52" i="10" s="1"/>
  <c r="AJ52" i="10" s="1"/>
  <c r="AK52" i="10" s="1"/>
  <c r="AL52" i="10" s="1"/>
  <c r="AM52" i="10" s="1"/>
  <c r="AN52" i="10" s="1"/>
  <c r="AE47" i="10"/>
  <c r="AF47" i="10" s="1"/>
  <c r="AG47" i="10" s="1"/>
  <c r="AH47" i="10" s="1"/>
  <c r="AI47" i="10" s="1"/>
  <c r="AJ47" i="10" s="1"/>
  <c r="AK47" i="10" s="1"/>
  <c r="AL47" i="10" s="1"/>
  <c r="AM47" i="10" s="1"/>
  <c r="AN47" i="10" s="1"/>
  <c r="AE51" i="10"/>
  <c r="AF51" i="10" s="1"/>
  <c r="AG51" i="10" s="1"/>
  <c r="AH51" i="10" s="1"/>
  <c r="AI51" i="10" s="1"/>
  <c r="AJ51" i="10" s="1"/>
  <c r="AK51" i="10" s="1"/>
  <c r="AL51" i="10" s="1"/>
  <c r="AM51" i="10" s="1"/>
  <c r="AN51" i="10" s="1"/>
  <c r="AE48" i="10"/>
  <c r="AF48" i="10" s="1"/>
  <c r="AG48" i="10" s="1"/>
  <c r="AH48" i="10" s="1"/>
  <c r="AI48" i="10" s="1"/>
  <c r="AJ48" i="10" s="1"/>
  <c r="AK48" i="10" s="1"/>
  <c r="AL48" i="10" s="1"/>
  <c r="AM48" i="10" s="1"/>
  <c r="AN48" i="10" s="1"/>
  <c r="AE56" i="10"/>
  <c r="AF56" i="10" s="1"/>
  <c r="AG56" i="10" s="1"/>
  <c r="AH56" i="10" s="1"/>
  <c r="AI56" i="10" s="1"/>
  <c r="AJ56" i="10" s="1"/>
  <c r="AK56" i="10" s="1"/>
  <c r="AL56" i="10" s="1"/>
  <c r="AM56" i="10" s="1"/>
  <c r="AN56" i="10" s="1"/>
  <c r="AE43" i="10"/>
  <c r="AF43" i="10" s="1"/>
  <c r="AG43" i="10" s="1"/>
  <c r="AH43" i="10" s="1"/>
  <c r="AI43" i="10" s="1"/>
  <c r="AJ43" i="10" s="1"/>
  <c r="AK43" i="10" s="1"/>
  <c r="AL43" i="10" s="1"/>
  <c r="AM43" i="10" s="1"/>
  <c r="AN43" i="10" s="1"/>
  <c r="AE45" i="10"/>
  <c r="AF45" i="10" s="1"/>
  <c r="AG45" i="10" s="1"/>
  <c r="AH45" i="10" s="1"/>
  <c r="AI45" i="10" s="1"/>
  <c r="AJ45" i="10" s="1"/>
  <c r="AK45" i="10" s="1"/>
  <c r="AL45" i="10" s="1"/>
  <c r="AM45" i="10" s="1"/>
  <c r="AN45" i="10" s="1"/>
  <c r="AE53" i="10"/>
  <c r="AF53" i="10" s="1"/>
  <c r="AG53" i="10" s="1"/>
  <c r="AH53" i="10" s="1"/>
  <c r="AI53" i="10" s="1"/>
  <c r="AJ53" i="10" s="1"/>
  <c r="AK53" i="10" s="1"/>
  <c r="AL53" i="10" s="1"/>
  <c r="AM53" i="10" s="1"/>
  <c r="AN53" i="10" s="1"/>
  <c r="AE44" i="10"/>
  <c r="AF44" i="10" s="1"/>
  <c r="AG44" i="10" s="1"/>
  <c r="AH44" i="10" s="1"/>
  <c r="AI44" i="10" s="1"/>
  <c r="AJ44" i="10" s="1"/>
  <c r="AK44" i="10" s="1"/>
  <c r="AL44" i="10" s="1"/>
  <c r="AM44" i="10" s="1"/>
  <c r="AN44" i="10" s="1"/>
  <c r="AE58" i="10"/>
  <c r="AF58" i="10" s="1"/>
  <c r="AG58" i="10" s="1"/>
  <c r="AH58" i="10" s="1"/>
  <c r="AI58" i="10" s="1"/>
  <c r="AJ58" i="10" s="1"/>
  <c r="AK58" i="10" s="1"/>
  <c r="AL58" i="10" s="1"/>
  <c r="AM58" i="10" s="1"/>
  <c r="AN58" i="10" s="1"/>
  <c r="AE50" i="10"/>
  <c r="AF50" i="10" s="1"/>
  <c r="AG50" i="10" s="1"/>
  <c r="AH50" i="10" s="1"/>
  <c r="AI50" i="10" s="1"/>
  <c r="AJ50" i="10" s="1"/>
  <c r="AK50" i="10" s="1"/>
  <c r="AL50" i="10" s="1"/>
  <c r="AM50" i="10" s="1"/>
  <c r="AN50" i="10" s="1"/>
  <c r="L142" i="9" l="1"/>
  <c r="K142" i="9"/>
  <c r="J142" i="9"/>
  <c r="I142" i="9"/>
  <c r="H142" i="9"/>
  <c r="G142" i="9"/>
  <c r="F142" i="9"/>
  <c r="E142" i="9"/>
  <c r="D142" i="9"/>
  <c r="C142" i="9"/>
  <c r="B142" i="9"/>
  <c r="A142" i="9"/>
  <c r="L141" i="9"/>
  <c r="K141" i="9"/>
  <c r="J141" i="9"/>
  <c r="I141" i="9"/>
  <c r="H141" i="9"/>
  <c r="G141" i="9"/>
  <c r="F141" i="9"/>
  <c r="E141" i="9"/>
  <c r="D141" i="9"/>
  <c r="C141" i="9"/>
  <c r="A141" i="9"/>
  <c r="L140" i="9"/>
  <c r="K140" i="9"/>
  <c r="J140" i="9"/>
  <c r="I140" i="9"/>
  <c r="H140" i="9"/>
  <c r="G140" i="9"/>
  <c r="F140" i="9"/>
  <c r="E140" i="9"/>
  <c r="D140" i="9"/>
  <c r="C140" i="9"/>
  <c r="A140" i="9"/>
  <c r="L139" i="9"/>
  <c r="K139" i="9"/>
  <c r="J139" i="9"/>
  <c r="I139" i="9"/>
  <c r="H139" i="9"/>
  <c r="G139" i="9"/>
  <c r="F139" i="9"/>
  <c r="E139" i="9"/>
  <c r="D139" i="9"/>
  <c r="C139" i="9"/>
  <c r="A139" i="9"/>
  <c r="L138" i="9"/>
  <c r="K138" i="9"/>
  <c r="J138" i="9"/>
  <c r="I138" i="9"/>
  <c r="H138" i="9"/>
  <c r="G138" i="9"/>
  <c r="F138" i="9"/>
  <c r="E138" i="9"/>
  <c r="D138" i="9"/>
  <c r="C138" i="9"/>
  <c r="A138" i="9"/>
  <c r="L137" i="9"/>
  <c r="K137" i="9"/>
  <c r="J137" i="9"/>
  <c r="I137" i="9"/>
  <c r="H137" i="9"/>
  <c r="G137" i="9"/>
  <c r="F137" i="9"/>
  <c r="E137" i="9"/>
  <c r="D137" i="9"/>
  <c r="C137" i="9"/>
  <c r="A137" i="9"/>
  <c r="L136" i="9"/>
  <c r="K136" i="9"/>
  <c r="J136" i="9"/>
  <c r="I136" i="9"/>
  <c r="H136" i="9"/>
  <c r="G136" i="9"/>
  <c r="F136" i="9"/>
  <c r="E136" i="9"/>
  <c r="D136" i="9"/>
  <c r="C136" i="9"/>
  <c r="A136" i="9"/>
  <c r="L135" i="9"/>
  <c r="K135" i="9"/>
  <c r="J135" i="9"/>
  <c r="I135" i="9"/>
  <c r="H135" i="9"/>
  <c r="G135" i="9"/>
  <c r="F135" i="9"/>
  <c r="E135" i="9"/>
  <c r="D135" i="9"/>
  <c r="C135" i="9"/>
  <c r="A135" i="9"/>
  <c r="L134" i="9"/>
  <c r="K134" i="9"/>
  <c r="J134" i="9"/>
  <c r="I134" i="9"/>
  <c r="H134" i="9"/>
  <c r="G134" i="9"/>
  <c r="F134" i="9"/>
  <c r="E134" i="9"/>
  <c r="D134" i="9"/>
  <c r="C134" i="9"/>
  <c r="A134" i="9"/>
  <c r="L133" i="9"/>
  <c r="K133" i="9"/>
  <c r="J133" i="9"/>
  <c r="I133" i="9"/>
  <c r="H133" i="9"/>
  <c r="G133" i="9"/>
  <c r="F133" i="9"/>
  <c r="E133" i="9"/>
  <c r="D133" i="9"/>
  <c r="C133" i="9"/>
  <c r="A133" i="9"/>
  <c r="L132" i="9"/>
  <c r="K132" i="9"/>
  <c r="J132" i="9"/>
  <c r="I132" i="9"/>
  <c r="H132" i="9"/>
  <c r="G132" i="9"/>
  <c r="F132" i="9"/>
  <c r="E132" i="9"/>
  <c r="D132" i="9"/>
  <c r="C132" i="9"/>
  <c r="B132" i="9"/>
  <c r="A132" i="9"/>
  <c r="L131" i="9"/>
  <c r="K131" i="9"/>
  <c r="J131" i="9"/>
  <c r="I131" i="9"/>
  <c r="H131" i="9"/>
  <c r="G131" i="9"/>
  <c r="F131" i="9"/>
  <c r="E131" i="9"/>
  <c r="D131" i="9"/>
  <c r="C131" i="9"/>
  <c r="A131" i="9"/>
  <c r="L130" i="9"/>
  <c r="K130" i="9"/>
  <c r="J130" i="9"/>
  <c r="I130" i="9"/>
  <c r="H130" i="9"/>
  <c r="G130" i="9"/>
  <c r="F130" i="9"/>
  <c r="E130" i="9"/>
  <c r="D130" i="9"/>
  <c r="C130" i="9"/>
  <c r="B130" i="9"/>
  <c r="A130" i="9"/>
  <c r="L128" i="9"/>
  <c r="K128" i="9"/>
  <c r="J128" i="9"/>
  <c r="I128" i="9"/>
  <c r="H128" i="9"/>
  <c r="G128" i="9"/>
  <c r="F128" i="9"/>
  <c r="E128" i="9"/>
  <c r="C128" i="9"/>
  <c r="A128" i="9"/>
  <c r="L127" i="9"/>
  <c r="K127" i="9"/>
  <c r="J127" i="9"/>
  <c r="I127" i="9"/>
  <c r="H127" i="9"/>
  <c r="G127" i="9"/>
  <c r="F127" i="9"/>
  <c r="E127" i="9"/>
  <c r="D127" i="9"/>
  <c r="C127" i="9"/>
  <c r="B127" i="9"/>
  <c r="A127" i="9"/>
  <c r="L126" i="9"/>
  <c r="K126" i="9"/>
  <c r="J126" i="9"/>
  <c r="I126" i="9"/>
  <c r="H126" i="9"/>
  <c r="G126" i="9"/>
  <c r="F126" i="9"/>
  <c r="E126" i="9"/>
  <c r="D126" i="9"/>
  <c r="C126" i="9"/>
  <c r="A126" i="9"/>
  <c r="L125" i="9"/>
  <c r="K125" i="9"/>
  <c r="J125" i="9"/>
  <c r="I125" i="9"/>
  <c r="H125" i="9"/>
  <c r="G125" i="9"/>
  <c r="F125" i="9"/>
  <c r="E125" i="9"/>
  <c r="B125" i="9"/>
  <c r="A125" i="9"/>
  <c r="L124" i="9"/>
  <c r="K124" i="9"/>
  <c r="J124" i="9"/>
  <c r="I124" i="9"/>
  <c r="H124" i="9"/>
  <c r="G124" i="9"/>
  <c r="F124" i="9"/>
  <c r="E124" i="9"/>
  <c r="B124" i="9"/>
  <c r="A124" i="9"/>
  <c r="L123" i="9"/>
  <c r="K123" i="9"/>
  <c r="J123" i="9"/>
  <c r="I123" i="9"/>
  <c r="H123" i="9"/>
  <c r="G123" i="9"/>
  <c r="F123" i="9"/>
  <c r="E123" i="9"/>
  <c r="B123" i="9"/>
  <c r="A123" i="9"/>
  <c r="L122" i="9"/>
  <c r="K122" i="9"/>
  <c r="J122" i="9"/>
  <c r="I122" i="9"/>
  <c r="H122" i="9"/>
  <c r="G122" i="9"/>
  <c r="F122" i="9"/>
  <c r="E122" i="9"/>
  <c r="B122" i="9"/>
  <c r="A122" i="9"/>
  <c r="L121" i="9"/>
  <c r="K121" i="9"/>
  <c r="J121" i="9"/>
  <c r="I121" i="9"/>
  <c r="H121" i="9"/>
  <c r="G121" i="9"/>
  <c r="F121" i="9"/>
  <c r="E121" i="9"/>
  <c r="B121" i="9"/>
  <c r="A121" i="9"/>
  <c r="L120" i="9"/>
  <c r="K120" i="9"/>
  <c r="J120" i="9"/>
  <c r="I120" i="9"/>
  <c r="H120" i="9"/>
  <c r="G120" i="9"/>
  <c r="F120" i="9"/>
  <c r="E120" i="9"/>
  <c r="B120" i="9"/>
  <c r="A120" i="9"/>
  <c r="L119" i="9"/>
  <c r="K119" i="9"/>
  <c r="J119" i="9"/>
  <c r="I119" i="9"/>
  <c r="H119" i="9"/>
  <c r="G119" i="9"/>
  <c r="F119" i="9"/>
  <c r="E119" i="9"/>
  <c r="B119" i="9"/>
  <c r="A119" i="9"/>
  <c r="L118" i="9"/>
  <c r="K118" i="9"/>
  <c r="J118" i="9"/>
  <c r="I118" i="9"/>
  <c r="H118" i="9"/>
  <c r="G118" i="9"/>
  <c r="F118" i="9"/>
  <c r="E118" i="9"/>
  <c r="B118" i="9"/>
  <c r="A118" i="9"/>
  <c r="L117" i="9"/>
  <c r="K117" i="9"/>
  <c r="J117" i="9"/>
  <c r="I117" i="9"/>
  <c r="H117" i="9"/>
  <c r="G117" i="9"/>
  <c r="F117" i="9"/>
  <c r="E117" i="9"/>
  <c r="D117" i="9"/>
  <c r="C117" i="9"/>
  <c r="A117" i="9"/>
  <c r="L116" i="9"/>
  <c r="K116" i="9"/>
  <c r="J116" i="9"/>
  <c r="I116" i="9"/>
  <c r="H116" i="9"/>
  <c r="G116" i="9"/>
  <c r="F116" i="9"/>
  <c r="E116" i="9"/>
  <c r="B116" i="9"/>
  <c r="A116" i="9"/>
  <c r="L115" i="9"/>
  <c r="K115" i="9"/>
  <c r="J115" i="9"/>
  <c r="I115" i="9"/>
  <c r="H115" i="9"/>
  <c r="G115" i="9"/>
  <c r="F115" i="9"/>
  <c r="E115" i="9"/>
  <c r="B115" i="9"/>
  <c r="A115" i="9"/>
  <c r="L114" i="9"/>
  <c r="K114" i="9"/>
  <c r="J114" i="9"/>
  <c r="I114" i="9"/>
  <c r="H114" i="9"/>
  <c r="G114" i="9"/>
  <c r="F114" i="9"/>
  <c r="E114" i="9"/>
  <c r="B114" i="9"/>
  <c r="A114" i="9"/>
  <c r="L113" i="9"/>
  <c r="K113" i="9"/>
  <c r="J113" i="9"/>
  <c r="I113" i="9"/>
  <c r="H113" i="9"/>
  <c r="G113" i="9"/>
  <c r="F113" i="9"/>
  <c r="E113" i="9"/>
  <c r="D113" i="9"/>
  <c r="C113" i="9"/>
  <c r="A113" i="9"/>
  <c r="L112" i="9"/>
  <c r="K112" i="9"/>
  <c r="J112" i="9"/>
  <c r="I112" i="9"/>
  <c r="H112" i="9"/>
  <c r="G112" i="9"/>
  <c r="F112" i="9"/>
  <c r="E112" i="9"/>
  <c r="B112" i="9"/>
  <c r="A112" i="9"/>
  <c r="L111" i="9"/>
  <c r="K111" i="9"/>
  <c r="J111" i="9"/>
  <c r="I111" i="9"/>
  <c r="H111" i="9"/>
  <c r="G111" i="9"/>
  <c r="F111" i="9"/>
  <c r="E111" i="9"/>
  <c r="B111" i="9"/>
  <c r="A111" i="9"/>
  <c r="L110" i="9"/>
  <c r="K110" i="9"/>
  <c r="J110" i="9"/>
  <c r="I110" i="9"/>
  <c r="H110" i="9"/>
  <c r="G110" i="9"/>
  <c r="F110" i="9"/>
  <c r="E110" i="9"/>
  <c r="B110" i="9"/>
  <c r="A110" i="9"/>
  <c r="L109" i="9"/>
  <c r="K109" i="9"/>
  <c r="J109" i="9"/>
  <c r="I109" i="9"/>
  <c r="H109" i="9"/>
  <c r="G109" i="9"/>
  <c r="F109" i="9"/>
  <c r="E109" i="9"/>
  <c r="B109" i="9"/>
  <c r="A109" i="9"/>
  <c r="L108" i="9"/>
  <c r="K108" i="9"/>
  <c r="J108" i="9"/>
  <c r="I108" i="9"/>
  <c r="H108" i="9"/>
  <c r="G108" i="9"/>
  <c r="F108" i="9"/>
  <c r="E108" i="9"/>
  <c r="B108" i="9"/>
  <c r="A108" i="9"/>
  <c r="L107" i="9"/>
  <c r="K107" i="9"/>
  <c r="J107" i="9"/>
  <c r="I107" i="9"/>
  <c r="H107" i="9"/>
  <c r="G107" i="9"/>
  <c r="F107" i="9"/>
  <c r="E107" i="9"/>
  <c r="D107" i="9"/>
  <c r="C107" i="9"/>
  <c r="A107" i="9"/>
  <c r="L106" i="9"/>
  <c r="K106" i="9"/>
  <c r="J106" i="9"/>
  <c r="I106" i="9"/>
  <c r="H106" i="9"/>
  <c r="G106" i="9"/>
  <c r="F106" i="9"/>
  <c r="E106" i="9"/>
  <c r="D106" i="9"/>
  <c r="C106" i="9"/>
  <c r="B106" i="9"/>
  <c r="A106" i="9"/>
  <c r="L105" i="9"/>
  <c r="K105" i="9"/>
  <c r="J105" i="9"/>
  <c r="I105" i="9"/>
  <c r="H105" i="9"/>
  <c r="G105" i="9"/>
  <c r="F105" i="9"/>
  <c r="E105" i="9"/>
  <c r="D105" i="9"/>
  <c r="C105" i="9"/>
  <c r="A105" i="9"/>
  <c r="L104" i="9"/>
  <c r="K104" i="9"/>
  <c r="J104" i="9"/>
  <c r="I104" i="9"/>
  <c r="H104" i="9"/>
  <c r="G104" i="9"/>
  <c r="F104" i="9"/>
  <c r="E104" i="9"/>
  <c r="D104" i="9"/>
  <c r="C104" i="9"/>
  <c r="B104" i="9"/>
  <c r="A104" i="9"/>
  <c r="L103" i="9"/>
  <c r="K103" i="9"/>
  <c r="J103" i="9"/>
  <c r="I103" i="9"/>
  <c r="H103" i="9"/>
  <c r="G103" i="9"/>
  <c r="F103" i="9"/>
  <c r="E103" i="9"/>
  <c r="D103" i="9"/>
  <c r="C103" i="9"/>
  <c r="A103" i="9"/>
  <c r="L102" i="9"/>
  <c r="K102" i="9"/>
  <c r="J102" i="9"/>
  <c r="I102" i="9"/>
  <c r="H102" i="9"/>
  <c r="G102" i="9"/>
  <c r="F102" i="9"/>
  <c r="E102" i="9"/>
  <c r="B102" i="9"/>
  <c r="A102" i="9"/>
  <c r="L101" i="9"/>
  <c r="K101" i="9"/>
  <c r="J101" i="9"/>
  <c r="I101" i="9"/>
  <c r="H101" i="9"/>
  <c r="G101" i="9"/>
  <c r="F101" i="9"/>
  <c r="E101" i="9"/>
  <c r="B101" i="9"/>
  <c r="A101" i="9"/>
  <c r="L100" i="9"/>
  <c r="K100" i="9"/>
  <c r="J100" i="9"/>
  <c r="I100" i="9"/>
  <c r="H100" i="9"/>
  <c r="G100" i="9"/>
  <c r="F100" i="9"/>
  <c r="E100" i="9"/>
  <c r="B100" i="9"/>
  <c r="A100" i="9"/>
  <c r="L99" i="9"/>
  <c r="K99" i="9"/>
  <c r="J99" i="9"/>
  <c r="I99" i="9"/>
  <c r="H99" i="9"/>
  <c r="G99" i="9"/>
  <c r="F99" i="9"/>
  <c r="E99" i="9"/>
  <c r="B99" i="9"/>
  <c r="A99" i="9"/>
  <c r="L98" i="9"/>
  <c r="K98" i="9"/>
  <c r="J98" i="9"/>
  <c r="I98" i="9"/>
  <c r="H98" i="9"/>
  <c r="G98" i="9"/>
  <c r="F98" i="9"/>
  <c r="E98" i="9"/>
  <c r="B98" i="9"/>
  <c r="A98" i="9"/>
  <c r="L97" i="9"/>
  <c r="K97" i="9"/>
  <c r="J97" i="9"/>
  <c r="I97" i="9"/>
  <c r="H97" i="9"/>
  <c r="G97" i="9"/>
  <c r="F97" i="9"/>
  <c r="E97" i="9"/>
  <c r="D97" i="9"/>
  <c r="A97" i="9"/>
  <c r="L96" i="9"/>
  <c r="K96" i="9"/>
  <c r="J96" i="9"/>
  <c r="I96" i="9"/>
  <c r="H96" i="9"/>
  <c r="G96" i="9"/>
  <c r="F96" i="9"/>
  <c r="E96" i="9"/>
  <c r="D96" i="9"/>
  <c r="C96" i="9"/>
  <c r="B96" i="9"/>
  <c r="A96" i="9"/>
  <c r="L95" i="9"/>
  <c r="K95" i="9"/>
  <c r="J95" i="9"/>
  <c r="I95" i="9"/>
  <c r="H95" i="9"/>
  <c r="G95" i="9"/>
  <c r="F95" i="9"/>
  <c r="E95" i="9"/>
  <c r="B95" i="9"/>
  <c r="A95" i="9"/>
  <c r="L94" i="9"/>
  <c r="K94" i="9"/>
  <c r="J94" i="9"/>
  <c r="I94" i="9"/>
  <c r="H94" i="9"/>
  <c r="G94" i="9"/>
  <c r="F94" i="9"/>
  <c r="E94" i="9"/>
  <c r="D94" i="9"/>
  <c r="B94" i="9"/>
  <c r="A94" i="9"/>
  <c r="L93" i="9"/>
  <c r="K93" i="9"/>
  <c r="J93" i="9"/>
  <c r="I93" i="9"/>
  <c r="H93" i="9"/>
  <c r="G93" i="9"/>
  <c r="F93" i="9"/>
  <c r="E93" i="9"/>
  <c r="D93" i="9"/>
  <c r="B93" i="9"/>
  <c r="A93" i="9"/>
  <c r="B92" i="9"/>
  <c r="B90" i="9"/>
  <c r="B88" i="9"/>
  <c r="B86" i="9"/>
  <c r="B85" i="9"/>
  <c r="B83" i="9"/>
  <c r="B81" i="9"/>
  <c r="B79" i="9"/>
  <c r="B77" i="9"/>
  <c r="B75" i="9"/>
  <c r="B73" i="9"/>
  <c r="H106" i="7"/>
  <c r="H105" i="7"/>
  <c r="H104" i="7"/>
  <c r="H103" i="7"/>
  <c r="H102" i="7"/>
  <c r="H101" i="7"/>
  <c r="H100" i="7"/>
  <c r="H99" i="7"/>
  <c r="H98" i="7"/>
  <c r="H97" i="7"/>
  <c r="H96" i="7"/>
  <c r="H95" i="7"/>
  <c r="H94" i="7"/>
  <c r="H93" i="7"/>
  <c r="H92" i="7"/>
  <c r="H91" i="7"/>
  <c r="H90" i="7"/>
  <c r="H89" i="7"/>
  <c r="H88" i="7"/>
  <c r="H87" i="7"/>
  <c r="H86" i="7"/>
  <c r="H85" i="7"/>
  <c r="H84" i="7"/>
  <c r="H83" i="7"/>
  <c r="H82" i="7"/>
  <c r="H81" i="7"/>
  <c r="H79" i="7"/>
  <c r="A20" i="14" s="1"/>
  <c r="H78" i="7"/>
  <c r="A19" i="14" s="1"/>
  <c r="H77" i="7"/>
  <c r="H76" i="7"/>
  <c r="H75" i="7"/>
  <c r="A16" i="14" s="1"/>
  <c r="H71" i="7"/>
  <c r="N30" i="14" s="1"/>
  <c r="M30" i="14" s="1"/>
  <c r="H70" i="7"/>
  <c r="H69" i="7"/>
  <c r="H68" i="7"/>
  <c r="H67" i="7"/>
  <c r="H66" i="7"/>
  <c r="B136" i="9" s="1"/>
  <c r="H65" i="7"/>
  <c r="H64" i="7"/>
  <c r="B134" i="9" s="1"/>
  <c r="H63" i="7"/>
  <c r="H61" i="7"/>
  <c r="B131" i="9" s="1"/>
  <c r="H58" i="7"/>
  <c r="D58" i="7" s="1"/>
  <c r="D128" i="9" s="1"/>
  <c r="H56" i="7"/>
  <c r="B126" i="9" s="1"/>
  <c r="H47" i="7"/>
  <c r="C53" i="7" s="1"/>
  <c r="C123" i="9" s="1"/>
  <c r="H43" i="7"/>
  <c r="D45" i="7" s="1"/>
  <c r="D115" i="9" s="1"/>
  <c r="H37" i="7"/>
  <c r="H35" i="7"/>
  <c r="H33" i="7"/>
  <c r="B103" i="9" s="1"/>
  <c r="H27" i="7"/>
  <c r="L2" i="6" s="1"/>
  <c r="H21" i="7"/>
  <c r="C25" i="7" s="1"/>
  <c r="H19" i="7"/>
  <c r="B89" i="9" s="1"/>
  <c r="H17" i="7"/>
  <c r="B87" i="9" s="1"/>
  <c r="H14" i="7"/>
  <c r="B84" i="9" s="1"/>
  <c r="H12" i="7"/>
  <c r="B82" i="9" s="1"/>
  <c r="H10" i="7"/>
  <c r="B80" i="9" s="1"/>
  <c r="H8" i="7"/>
  <c r="B78" i="9" s="1"/>
  <c r="H6" i="7"/>
  <c r="B76" i="9" s="1"/>
  <c r="H4" i="7"/>
  <c r="B74" i="9" s="1"/>
  <c r="H2" i="7"/>
  <c r="B72" i="9" s="1"/>
  <c r="B13" i="16" l="1"/>
  <c r="I13" i="16" s="1"/>
  <c r="B89" i="16"/>
  <c r="U89" i="16" s="1"/>
  <c r="U2" i="16" s="1"/>
  <c r="B16" i="16"/>
  <c r="B24" i="16"/>
  <c r="K2" i="16" s="1"/>
  <c r="B14" i="16"/>
  <c r="B84" i="16"/>
  <c r="B77" i="16"/>
  <c r="B53" i="16"/>
  <c r="B105" i="9"/>
  <c r="K106" i="7"/>
  <c r="K98" i="7"/>
  <c r="K90" i="7"/>
  <c r="K81" i="7"/>
  <c r="K105" i="7"/>
  <c r="K97" i="7"/>
  <c r="K89" i="7"/>
  <c r="K82" i="7"/>
  <c r="K104" i="7"/>
  <c r="K96" i="7"/>
  <c r="K88" i="7"/>
  <c r="K103" i="7"/>
  <c r="K95" i="7"/>
  <c r="K87" i="7"/>
  <c r="K102" i="7"/>
  <c r="K94" i="7"/>
  <c r="K86" i="7"/>
  <c r="K101" i="7"/>
  <c r="K93" i="7"/>
  <c r="K85" i="7"/>
  <c r="K100" i="7"/>
  <c r="K92" i="7"/>
  <c r="K84" i="7"/>
  <c r="K99" i="7"/>
  <c r="K91" i="7"/>
  <c r="K83" i="7"/>
  <c r="C51" i="7"/>
  <c r="C121" i="9" s="1"/>
  <c r="C52" i="7"/>
  <c r="C122" i="9" s="1"/>
  <c r="C48" i="7"/>
  <c r="C118" i="9" s="1"/>
  <c r="C50" i="7"/>
  <c r="C120" i="9" s="1"/>
  <c r="C54" i="7"/>
  <c r="C124" i="9" s="1"/>
  <c r="C29" i="7"/>
  <c r="C99" i="9" s="1"/>
  <c r="D17" i="7"/>
  <c r="C15" i="7"/>
  <c r="C49" i="7"/>
  <c r="C119" i="9" s="1"/>
  <c r="C16" i="7"/>
  <c r="C38" i="7"/>
  <c r="C108" i="9" s="1"/>
  <c r="C39" i="7"/>
  <c r="C109" i="9" s="1"/>
  <c r="D25" i="7"/>
  <c r="D95" i="9" s="1"/>
  <c r="C95" i="9"/>
  <c r="D77" i="7"/>
  <c r="A18" i="14"/>
  <c r="B137" i="9"/>
  <c r="N26" i="14"/>
  <c r="M26" i="14" s="1"/>
  <c r="C45" i="7"/>
  <c r="C115" i="9" s="1"/>
  <c r="C55" i="7"/>
  <c r="C125" i="9" s="1"/>
  <c r="B107" i="9"/>
  <c r="B117" i="9"/>
  <c r="D76" i="7"/>
  <c r="A17" i="14"/>
  <c r="L1" i="6"/>
  <c r="B138" i="9"/>
  <c r="N27" i="14"/>
  <c r="M27" i="14" s="1"/>
  <c r="C28" i="7"/>
  <c r="C98" i="9" s="1"/>
  <c r="B139" i="9"/>
  <c r="N28" i="14"/>
  <c r="M28" i="14" s="1"/>
  <c r="B91" i="9"/>
  <c r="B140" i="9"/>
  <c r="N29" i="14"/>
  <c r="M29" i="14" s="1"/>
  <c r="C14" i="7"/>
  <c r="B97" i="9"/>
  <c r="B113" i="9"/>
  <c r="B144" i="9"/>
  <c r="B128" i="9"/>
  <c r="B141" i="9"/>
  <c r="B145" i="9"/>
  <c r="B133" i="9"/>
  <c r="N22" i="14"/>
  <c r="M22" i="14" s="1"/>
  <c r="B146" i="9"/>
  <c r="B147" i="9"/>
  <c r="C44" i="7"/>
  <c r="C114" i="9" s="1"/>
  <c r="B148" i="9"/>
  <c r="N25" i="14"/>
  <c r="M25" i="14" s="1"/>
  <c r="N24" i="14"/>
  <c r="M24" i="14" s="1"/>
  <c r="B135" i="9"/>
  <c r="N23" i="14"/>
  <c r="M23" i="14" s="1"/>
  <c r="C40" i="7"/>
  <c r="C110" i="9" s="1"/>
  <c r="C41" i="7"/>
  <c r="C111" i="9" s="1"/>
  <c r="C42" i="7"/>
  <c r="C112" i="9" s="1"/>
  <c r="D54" i="7"/>
  <c r="D124" i="9" s="1"/>
  <c r="D48" i="7"/>
  <c r="D118" i="9" s="1"/>
  <c r="D51" i="7"/>
  <c r="D121" i="9" s="1"/>
  <c r="D55" i="7"/>
  <c r="D125" i="9" s="1"/>
  <c r="D52" i="7"/>
  <c r="D122" i="9" s="1"/>
  <c r="D53" i="7"/>
  <c r="D123" i="9" s="1"/>
  <c r="D49" i="7"/>
  <c r="D119" i="9" s="1"/>
  <c r="D50" i="7"/>
  <c r="D120" i="9" s="1"/>
  <c r="D46" i="7"/>
  <c r="D116" i="9" s="1"/>
  <c r="D44" i="7"/>
  <c r="D114" i="9" s="1"/>
  <c r="C46" i="7"/>
  <c r="C116" i="9" s="1"/>
  <c r="D42" i="7"/>
  <c r="D112" i="9" s="1"/>
  <c r="D41" i="7"/>
  <c r="D111" i="9" s="1"/>
  <c r="D38" i="7"/>
  <c r="D108" i="9" s="1"/>
  <c r="D39" i="7"/>
  <c r="D109" i="9" s="1"/>
  <c r="D40" i="7"/>
  <c r="D110" i="9" s="1"/>
  <c r="C27" i="7"/>
  <c r="C97" i="9" s="1"/>
  <c r="C30" i="7"/>
  <c r="C100" i="9" s="1"/>
  <c r="D28" i="7"/>
  <c r="D98" i="9" s="1"/>
  <c r="C31" i="7"/>
  <c r="C101" i="9" s="1"/>
  <c r="D29" i="7"/>
  <c r="D99" i="9" s="1"/>
  <c r="C32" i="7"/>
  <c r="C102" i="9" s="1"/>
  <c r="D30" i="7"/>
  <c r="D100" i="9" s="1"/>
  <c r="D31" i="7"/>
  <c r="D101" i="9" s="1"/>
  <c r="D32" i="7"/>
  <c r="D102" i="9" s="1"/>
  <c r="D16" i="7"/>
  <c r="D14" i="7"/>
  <c r="D15" i="7"/>
  <c r="C165" i="9"/>
  <c r="C164" i="9"/>
  <c r="C163" i="9"/>
  <c r="C162" i="9"/>
  <c r="C161" i="9"/>
  <c r="C160" i="9"/>
  <c r="C159" i="9"/>
  <c r="C158" i="9"/>
  <c r="C157" i="9"/>
  <c r="C156" i="9"/>
  <c r="C155" i="9"/>
  <c r="C154" i="9"/>
  <c r="C153" i="9"/>
  <c r="C152" i="9"/>
  <c r="C150" i="9"/>
  <c r="C151" i="9"/>
  <c r="J1" i="15" l="1"/>
  <c r="O7" i="15" s="1"/>
  <c r="W1" i="6"/>
  <c r="AA24" i="16"/>
  <c r="AA2" i="16" s="1"/>
  <c r="C10" i="16" s="1"/>
  <c r="J24" i="16"/>
  <c r="J2" i="16" s="1"/>
  <c r="I16" i="16"/>
  <c r="AD16" i="16"/>
  <c r="AD2" i="16" s="1"/>
  <c r="C59" i="16" s="1"/>
  <c r="S84" i="16"/>
  <c r="S2" i="16" s="1"/>
  <c r="AK84" i="16"/>
  <c r="AK2" i="16" s="1"/>
  <c r="C89" i="16"/>
  <c r="C90" i="16"/>
  <c r="AL14" i="16"/>
  <c r="AL2" i="16" s="1"/>
  <c r="I14" i="16"/>
  <c r="R77" i="16"/>
  <c r="R2" i="16" s="1"/>
  <c r="AB77" i="16"/>
  <c r="AB2" i="16" s="1"/>
  <c r="AF53" i="16"/>
  <c r="AF2" i="16" s="1"/>
  <c r="AE53" i="16"/>
  <c r="AE2" i="16" s="1"/>
  <c r="O53" i="16"/>
  <c r="O2" i="16" s="1"/>
  <c r="O23" i="15"/>
  <c r="O21" i="15"/>
  <c r="H101" i="10"/>
  <c r="I101" i="10"/>
  <c r="A202" i="9"/>
  <c r="A201" i="9"/>
  <c r="A181" i="12"/>
  <c r="Q77" i="10"/>
  <c r="L77" i="10"/>
  <c r="H77" i="10"/>
  <c r="B77" i="10"/>
  <c r="R77" i="10" s="1"/>
  <c r="P77" i="10" s="1"/>
  <c r="Q76" i="10"/>
  <c r="L76" i="10"/>
  <c r="H76" i="10"/>
  <c r="B76" i="10"/>
  <c r="R76" i="10" s="1"/>
  <c r="Q75" i="10"/>
  <c r="L75" i="10"/>
  <c r="H75" i="10"/>
  <c r="B75" i="10"/>
  <c r="M75" i="10" s="1"/>
  <c r="Q74" i="10"/>
  <c r="L74" i="10"/>
  <c r="H74" i="10"/>
  <c r="B74" i="10"/>
  <c r="R74" i="10" s="1"/>
  <c r="K74" i="10" s="1"/>
  <c r="Q73" i="10"/>
  <c r="L73" i="10"/>
  <c r="H73" i="10"/>
  <c r="B73" i="10"/>
  <c r="Q72" i="10"/>
  <c r="L72" i="10"/>
  <c r="H72" i="10"/>
  <c r="B72" i="10"/>
  <c r="R72" i="10" s="1"/>
  <c r="F72" i="10" s="1"/>
  <c r="O52" i="10"/>
  <c r="B52" i="10"/>
  <c r="O51" i="10"/>
  <c r="B51" i="10"/>
  <c r="O50" i="10"/>
  <c r="B50" i="10"/>
  <c r="O49" i="10"/>
  <c r="B49" i="10"/>
  <c r="O48" i="10"/>
  <c r="B48" i="10"/>
  <c r="O47" i="10"/>
  <c r="B47" i="10"/>
  <c r="AD31" i="10"/>
  <c r="B31" i="10"/>
  <c r="R31" i="10" s="1"/>
  <c r="AD28" i="10"/>
  <c r="B28" i="10"/>
  <c r="R28" i="10" s="1"/>
  <c r="AD27" i="10"/>
  <c r="B27" i="10"/>
  <c r="R27" i="10" s="1"/>
  <c r="AD26" i="10"/>
  <c r="B26" i="10"/>
  <c r="R26" i="10" s="1"/>
  <c r="AD33" i="10"/>
  <c r="B33" i="10"/>
  <c r="R33" i="10" s="1"/>
  <c r="AD32" i="10"/>
  <c r="B32" i="10"/>
  <c r="R32" i="10" s="1"/>
  <c r="L32" i="10" s="1"/>
  <c r="K592" i="8"/>
  <c r="K591" i="8"/>
  <c r="K590" i="8"/>
  <c r="K589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I573" i="8" s="1"/>
  <c r="K572" i="8"/>
  <c r="K571" i="8"/>
  <c r="K570" i="8"/>
  <c r="K569" i="8"/>
  <c r="H569" i="8" s="1"/>
  <c r="K568" i="8"/>
  <c r="K567" i="8"/>
  <c r="K566" i="8"/>
  <c r="K565" i="8"/>
  <c r="G565" i="8" s="1"/>
  <c r="K564" i="8"/>
  <c r="I564" i="8" s="1"/>
  <c r="K563" i="8"/>
  <c r="I563" i="8" s="1"/>
  <c r="K562" i="8"/>
  <c r="K561" i="8"/>
  <c r="H561" i="8" s="1"/>
  <c r="K537" i="8"/>
  <c r="K536" i="8"/>
  <c r="K535" i="8"/>
  <c r="K534" i="8"/>
  <c r="K533" i="8"/>
  <c r="K532" i="8"/>
  <c r="K531" i="8"/>
  <c r="H531" i="8" s="1"/>
  <c r="K530" i="8"/>
  <c r="H530" i="8" s="1"/>
  <c r="K529" i="8"/>
  <c r="G529" i="8" s="1"/>
  <c r="K528" i="8"/>
  <c r="K527" i="8"/>
  <c r="G527" i="8" s="1"/>
  <c r="K526" i="8"/>
  <c r="H526" i="8" s="1"/>
  <c r="K525" i="8"/>
  <c r="H525" i="8" s="1"/>
  <c r="K524" i="8"/>
  <c r="H524" i="8" s="1"/>
  <c r="K523" i="8"/>
  <c r="H523" i="8" s="1"/>
  <c r="K522" i="8"/>
  <c r="G522" i="8" s="1"/>
  <c r="K521" i="8"/>
  <c r="H521" i="8" s="1"/>
  <c r="K520" i="8"/>
  <c r="H520" i="8" s="1"/>
  <c r="K519" i="8"/>
  <c r="G519" i="8" s="1"/>
  <c r="K518" i="8"/>
  <c r="H518" i="8" s="1"/>
  <c r="K517" i="8"/>
  <c r="H517" i="8" s="1"/>
  <c r="K516" i="8"/>
  <c r="H516" i="8" s="1"/>
  <c r="K515" i="8"/>
  <c r="H515" i="8" s="1"/>
  <c r="K514" i="8"/>
  <c r="K495" i="8"/>
  <c r="K494" i="8"/>
  <c r="K493" i="8"/>
  <c r="K492" i="8"/>
  <c r="K491" i="8"/>
  <c r="K490" i="8"/>
  <c r="H490" i="8" s="1"/>
  <c r="K489" i="8"/>
  <c r="I489" i="8" s="1"/>
  <c r="K488" i="8"/>
  <c r="G488" i="8" s="1"/>
  <c r="K487" i="8"/>
  <c r="H487" i="8" s="1"/>
  <c r="K486" i="8"/>
  <c r="K485" i="8"/>
  <c r="G485" i="8" s="1"/>
  <c r="K484" i="8"/>
  <c r="K483" i="8"/>
  <c r="I483" i="8" s="1"/>
  <c r="K482" i="8"/>
  <c r="G482" i="8" s="1"/>
  <c r="K481" i="8"/>
  <c r="I481" i="8" s="1"/>
  <c r="K480" i="8"/>
  <c r="I480" i="8" s="1"/>
  <c r="K479" i="8"/>
  <c r="I479" i="8" s="1"/>
  <c r="K478" i="8"/>
  <c r="K477" i="8"/>
  <c r="H477" i="8" s="1"/>
  <c r="K476" i="8"/>
  <c r="G476" i="8" s="1"/>
  <c r="K475" i="8"/>
  <c r="H475" i="8" s="1"/>
  <c r="K452" i="8"/>
  <c r="K451" i="8"/>
  <c r="H451" i="8" s="1"/>
  <c r="K450" i="8"/>
  <c r="G450" i="8" s="1"/>
  <c r="K449" i="8"/>
  <c r="I449" i="8" s="1"/>
  <c r="K448" i="8"/>
  <c r="I448" i="8" s="1"/>
  <c r="K447" i="8"/>
  <c r="I447" i="8" s="1"/>
  <c r="K446" i="8"/>
  <c r="H446" i="8" s="1"/>
  <c r="K445" i="8"/>
  <c r="I445" i="8" s="1"/>
  <c r="K444" i="8"/>
  <c r="K443" i="8"/>
  <c r="H443" i="8" s="1"/>
  <c r="K442" i="8"/>
  <c r="K441" i="8"/>
  <c r="I441" i="8" s="1"/>
  <c r="K440" i="8"/>
  <c r="K439" i="8"/>
  <c r="G439" i="8" s="1"/>
  <c r="K438" i="8"/>
  <c r="G438" i="8" s="1"/>
  <c r="K437" i="8"/>
  <c r="G437" i="8" s="1"/>
  <c r="K413" i="8"/>
  <c r="K412" i="8"/>
  <c r="K411" i="8"/>
  <c r="H411" i="8" s="1"/>
  <c r="K410" i="8"/>
  <c r="K409" i="8"/>
  <c r="I409" i="8" s="1"/>
  <c r="K408" i="8"/>
  <c r="I408" i="8" s="1"/>
  <c r="K407" i="8"/>
  <c r="G407" i="8" s="1"/>
  <c r="K406" i="8"/>
  <c r="G406" i="8" s="1"/>
  <c r="K405" i="8"/>
  <c r="K404" i="8"/>
  <c r="K403" i="8"/>
  <c r="G403" i="8" s="1"/>
  <c r="K402" i="8"/>
  <c r="K401" i="8"/>
  <c r="K400" i="8"/>
  <c r="I400" i="8" s="1"/>
  <c r="K399" i="8"/>
  <c r="H399" i="8" s="1"/>
  <c r="K398" i="8"/>
  <c r="K397" i="8"/>
  <c r="I397" i="8" s="1"/>
  <c r="K396" i="8"/>
  <c r="K395" i="8"/>
  <c r="K394" i="8"/>
  <c r="I394" i="8" s="1"/>
  <c r="K376" i="8"/>
  <c r="I376" i="8" s="1"/>
  <c r="K375" i="8"/>
  <c r="H375" i="8" s="1"/>
  <c r="K374" i="8"/>
  <c r="H374" i="8" s="1"/>
  <c r="K373" i="8"/>
  <c r="G373" i="8" s="1"/>
  <c r="K372" i="8"/>
  <c r="K371" i="8"/>
  <c r="I371" i="8" s="1"/>
  <c r="K370" i="8"/>
  <c r="I370" i="8" s="1"/>
  <c r="K369" i="8"/>
  <c r="K368" i="8"/>
  <c r="H368" i="8" s="1"/>
  <c r="K367" i="8"/>
  <c r="G367" i="8" s="1"/>
  <c r="K366" i="8"/>
  <c r="I366" i="8" s="1"/>
  <c r="K365" i="8"/>
  <c r="H365" i="8" s="1"/>
  <c r="K364" i="8"/>
  <c r="G364" i="8" s="1"/>
  <c r="K363" i="8"/>
  <c r="I363" i="8" s="1"/>
  <c r="K362" i="8"/>
  <c r="I362" i="8" s="1"/>
  <c r="K361" i="8"/>
  <c r="I361" i="8" s="1"/>
  <c r="K360" i="8"/>
  <c r="I360" i="8" s="1"/>
  <c r="K359" i="8"/>
  <c r="G359" i="8" s="1"/>
  <c r="K342" i="8"/>
  <c r="I342" i="8" s="1"/>
  <c r="K341" i="8"/>
  <c r="I341" i="8" s="1"/>
  <c r="K340" i="8"/>
  <c r="K339" i="8"/>
  <c r="G339" i="8" s="1"/>
  <c r="K338" i="8"/>
  <c r="H338" i="8" s="1"/>
  <c r="K337" i="8"/>
  <c r="G337" i="8" s="1"/>
  <c r="K336" i="8"/>
  <c r="G336" i="8" s="1"/>
  <c r="K335" i="8"/>
  <c r="G335" i="8" s="1"/>
  <c r="K334" i="8"/>
  <c r="G334" i="8" s="1"/>
  <c r="K333" i="8"/>
  <c r="K332" i="8"/>
  <c r="K331" i="8"/>
  <c r="G331" i="8" s="1"/>
  <c r="K330" i="8"/>
  <c r="I330" i="8" s="1"/>
  <c r="K329" i="8"/>
  <c r="G329" i="8" s="1"/>
  <c r="K328" i="8"/>
  <c r="H328" i="8" s="1"/>
  <c r="K327" i="8"/>
  <c r="H327" i="8" s="1"/>
  <c r="K326" i="8"/>
  <c r="I326" i="8" s="1"/>
  <c r="K325" i="8"/>
  <c r="H325" i="8" s="1"/>
  <c r="K324" i="8"/>
  <c r="H324" i="8" s="1"/>
  <c r="K323" i="8"/>
  <c r="I323" i="8" s="1"/>
  <c r="K304" i="8"/>
  <c r="K303" i="8"/>
  <c r="I303" i="8" s="1"/>
  <c r="K302" i="8"/>
  <c r="I302" i="8" s="1"/>
  <c r="K301" i="8"/>
  <c r="H301" i="8" s="1"/>
  <c r="K300" i="8"/>
  <c r="I300" i="8" s="1"/>
  <c r="K299" i="8"/>
  <c r="G299" i="8" s="1"/>
  <c r="K298" i="8"/>
  <c r="K297" i="8"/>
  <c r="G297" i="8" s="1"/>
  <c r="K296" i="8"/>
  <c r="H296" i="8" s="1"/>
  <c r="K295" i="8"/>
  <c r="H295" i="8" s="1"/>
  <c r="K294" i="8"/>
  <c r="H294" i="8" s="1"/>
  <c r="K293" i="8"/>
  <c r="K292" i="8"/>
  <c r="I292" i="8" s="1"/>
  <c r="K291" i="8"/>
  <c r="I291" i="8" s="1"/>
  <c r="K268" i="8"/>
  <c r="K267" i="8"/>
  <c r="G267" i="8" s="1"/>
  <c r="K266" i="8"/>
  <c r="K265" i="8"/>
  <c r="H265" i="8" s="1"/>
  <c r="K264" i="8"/>
  <c r="I264" i="8" s="1"/>
  <c r="K263" i="8"/>
  <c r="G263" i="8" s="1"/>
  <c r="K262" i="8"/>
  <c r="I262" i="8" s="1"/>
  <c r="K261" i="8"/>
  <c r="H261" i="8" s="1"/>
  <c r="K260" i="8"/>
  <c r="G260" i="8" s="1"/>
  <c r="K259" i="8"/>
  <c r="G259" i="8" s="1"/>
  <c r="K258" i="8"/>
  <c r="H258" i="8" s="1"/>
  <c r="K257" i="8"/>
  <c r="I257" i="8" s="1"/>
  <c r="K256" i="8"/>
  <c r="H256" i="8" s="1"/>
  <c r="K255" i="8"/>
  <c r="I255" i="8" s="1"/>
  <c r="K254" i="8"/>
  <c r="H254" i="8" s="1"/>
  <c r="K253" i="8"/>
  <c r="H253" i="8" s="1"/>
  <c r="K252" i="8"/>
  <c r="K251" i="8"/>
  <c r="G251" i="8" s="1"/>
  <c r="K250" i="8"/>
  <c r="H250" i="8" s="1"/>
  <c r="K249" i="8"/>
  <c r="G249" i="8" s="1"/>
  <c r="K248" i="8"/>
  <c r="H248" i="8" s="1"/>
  <c r="K247" i="8"/>
  <c r="H247" i="8" s="1"/>
  <c r="K246" i="8"/>
  <c r="G246" i="8" s="1"/>
  <c r="K227" i="8"/>
  <c r="H227" i="8" s="1"/>
  <c r="K226" i="8"/>
  <c r="H226" i="8" s="1"/>
  <c r="K225" i="8"/>
  <c r="H225" i="8" s="1"/>
  <c r="K224" i="8"/>
  <c r="G224" i="8" s="1"/>
  <c r="K223" i="8"/>
  <c r="I223" i="8" s="1"/>
  <c r="K222" i="8"/>
  <c r="I222" i="8" s="1"/>
  <c r="K221" i="8"/>
  <c r="K220" i="8"/>
  <c r="H220" i="8" s="1"/>
  <c r="K219" i="8"/>
  <c r="G219" i="8" s="1"/>
  <c r="K218" i="8"/>
  <c r="K217" i="8"/>
  <c r="H217" i="8" s="1"/>
  <c r="K216" i="8"/>
  <c r="K215" i="8"/>
  <c r="H215" i="8" s="1"/>
  <c r="K214" i="8"/>
  <c r="H214" i="8" s="1"/>
  <c r="K213" i="8"/>
  <c r="H213" i="8" s="1"/>
  <c r="K212" i="8"/>
  <c r="G212" i="8" s="1"/>
  <c r="K211" i="8"/>
  <c r="G211" i="8" s="1"/>
  <c r="K210" i="8"/>
  <c r="H210" i="8" s="1"/>
  <c r="K209" i="8"/>
  <c r="I209" i="8" s="1"/>
  <c r="K208" i="8"/>
  <c r="I208" i="8" s="1"/>
  <c r="K186" i="8"/>
  <c r="G186" i="8" s="1"/>
  <c r="K185" i="8"/>
  <c r="K184" i="8"/>
  <c r="G184" i="8" s="1"/>
  <c r="K183" i="8"/>
  <c r="K182" i="8"/>
  <c r="G182" i="8" s="1"/>
  <c r="K181" i="8"/>
  <c r="G181" i="8" s="1"/>
  <c r="K180" i="8"/>
  <c r="G180" i="8" s="1"/>
  <c r="K179" i="8"/>
  <c r="H179" i="8" s="1"/>
  <c r="K178" i="8"/>
  <c r="H178" i="8" s="1"/>
  <c r="K177" i="8"/>
  <c r="G177" i="8" s="1"/>
  <c r="K176" i="8"/>
  <c r="G176" i="8" s="1"/>
  <c r="K175" i="8"/>
  <c r="G175" i="8" s="1"/>
  <c r="K174" i="8"/>
  <c r="G174" i="8" s="1"/>
  <c r="K173" i="8"/>
  <c r="H173" i="8" s="1"/>
  <c r="K172" i="8"/>
  <c r="G172" i="8" s="1"/>
  <c r="K171" i="8"/>
  <c r="H171" i="8" s="1"/>
  <c r="K170" i="8"/>
  <c r="H170" i="8" s="1"/>
  <c r="K169" i="8"/>
  <c r="H169" i="8" s="1"/>
  <c r="K146" i="8"/>
  <c r="K145" i="8"/>
  <c r="H145" i="8" s="1"/>
  <c r="K144" i="8"/>
  <c r="G144" i="8" s="1"/>
  <c r="K143" i="8"/>
  <c r="H143" i="8" s="1"/>
  <c r="K142" i="8"/>
  <c r="I142" i="8" s="1"/>
  <c r="K141" i="8"/>
  <c r="I141" i="8" s="1"/>
  <c r="K140" i="8"/>
  <c r="H140" i="8" s="1"/>
  <c r="K139" i="8"/>
  <c r="I139" i="8" s="1"/>
  <c r="K138" i="8"/>
  <c r="K137" i="8"/>
  <c r="G137" i="8" s="1"/>
  <c r="K88" i="8"/>
  <c r="K87" i="8"/>
  <c r="K86" i="8"/>
  <c r="G86" i="8" s="1"/>
  <c r="J52" i="14" s="1"/>
  <c r="K85" i="8"/>
  <c r="K84" i="8"/>
  <c r="K83" i="8"/>
  <c r="G83" i="8" s="1"/>
  <c r="J49" i="14" s="1"/>
  <c r="K82" i="8"/>
  <c r="G82" i="8" s="1"/>
  <c r="J48" i="14" s="1"/>
  <c r="K81" i="8"/>
  <c r="G81" i="8" s="1"/>
  <c r="J47" i="14" s="1"/>
  <c r="K80" i="8"/>
  <c r="H80" i="8" s="1"/>
  <c r="L46" i="14" s="1"/>
  <c r="K79" i="8"/>
  <c r="I79" i="8" s="1"/>
  <c r="N45" i="14" s="1"/>
  <c r="K78" i="8"/>
  <c r="I78" i="8" s="1"/>
  <c r="N44" i="14" s="1"/>
  <c r="K77" i="8"/>
  <c r="H77" i="8" s="1"/>
  <c r="L43" i="14" s="1"/>
  <c r="K76" i="8"/>
  <c r="I76" i="8" s="1"/>
  <c r="N42" i="14" s="1"/>
  <c r="K75" i="8"/>
  <c r="G75" i="8" s="1"/>
  <c r="J41" i="14" s="1"/>
  <c r="K74" i="8"/>
  <c r="I74" i="8" s="1"/>
  <c r="N40" i="14" s="1"/>
  <c r="K73" i="8"/>
  <c r="H73" i="8" s="1"/>
  <c r="L39" i="14" s="1"/>
  <c r="G72" i="8"/>
  <c r="J38" i="14" s="1"/>
  <c r="K65" i="8"/>
  <c r="K64" i="8"/>
  <c r="K63" i="8"/>
  <c r="H63" i="8" s="1"/>
  <c r="K62" i="8"/>
  <c r="G62" i="8" s="1"/>
  <c r="K61" i="8"/>
  <c r="G61" i="8" s="1"/>
  <c r="K60" i="8"/>
  <c r="H60" i="8" s="1"/>
  <c r="K59" i="8"/>
  <c r="H59" i="8" s="1"/>
  <c r="K58" i="8"/>
  <c r="G58" i="8" s="1"/>
  <c r="K57" i="8"/>
  <c r="G57" i="8" s="1"/>
  <c r="K56" i="8"/>
  <c r="K55" i="8"/>
  <c r="G55" i="8" s="1"/>
  <c r="K54" i="8"/>
  <c r="H54" i="8" s="1"/>
  <c r="K53" i="8"/>
  <c r="H53" i="8" s="1"/>
  <c r="K52" i="8"/>
  <c r="H52" i="8" s="1"/>
  <c r="K51" i="8"/>
  <c r="H51" i="8" s="1"/>
  <c r="K50" i="8"/>
  <c r="H50" i="8" s="1"/>
  <c r="K49" i="8"/>
  <c r="G49" i="8" s="1"/>
  <c r="K30" i="8"/>
  <c r="K29" i="8"/>
  <c r="H29" i="8" s="1"/>
  <c r="K28" i="8"/>
  <c r="H28" i="8" s="1"/>
  <c r="K27" i="8"/>
  <c r="I27" i="8" s="1"/>
  <c r="K26" i="8"/>
  <c r="G26" i="8" s="1"/>
  <c r="K25" i="8"/>
  <c r="H25" i="8" s="1"/>
  <c r="K24" i="8"/>
  <c r="H24" i="8" s="1"/>
  <c r="K23" i="8"/>
  <c r="G23" i="8" s="1"/>
  <c r="K22" i="8"/>
  <c r="K21" i="8"/>
  <c r="G21" i="8" s="1"/>
  <c r="K20" i="8"/>
  <c r="G20" i="8" s="1"/>
  <c r="K19" i="8"/>
  <c r="H19" i="8" s="1"/>
  <c r="H88" i="10"/>
  <c r="H87" i="10"/>
  <c r="H86" i="10"/>
  <c r="H85" i="10"/>
  <c r="H84" i="10"/>
  <c r="H83" i="10"/>
  <c r="H82" i="10"/>
  <c r="H81" i="10"/>
  <c r="H80" i="10"/>
  <c r="H79" i="10"/>
  <c r="H78" i="10"/>
  <c r="H71" i="10"/>
  <c r="H70" i="10"/>
  <c r="H69" i="10"/>
  <c r="H68" i="10"/>
  <c r="AD39" i="10"/>
  <c r="AD38" i="10"/>
  <c r="AD37" i="10"/>
  <c r="AD36" i="10"/>
  <c r="AD35" i="10"/>
  <c r="AD34" i="10"/>
  <c r="AD25" i="10"/>
  <c r="AD24" i="10"/>
  <c r="AD23" i="10"/>
  <c r="AD22" i="10"/>
  <c r="AD21" i="10"/>
  <c r="AD20" i="10"/>
  <c r="G118" i="12"/>
  <c r="G114" i="12"/>
  <c r="G112" i="12"/>
  <c r="D47" i="2"/>
  <c r="K392" i="8"/>
  <c r="G392" i="8" s="1"/>
  <c r="N3" i="2"/>
  <c r="J2" i="13"/>
  <c r="F41" i="13"/>
  <c r="E41" i="13"/>
  <c r="D41" i="13"/>
  <c r="C41" i="13"/>
  <c r="A41" i="13"/>
  <c r="F40" i="13"/>
  <c r="E40" i="13"/>
  <c r="D40" i="13"/>
  <c r="C40" i="13"/>
  <c r="A40" i="13"/>
  <c r="F39" i="13"/>
  <c r="E39" i="13"/>
  <c r="D39" i="13"/>
  <c r="C39" i="13"/>
  <c r="A39" i="13"/>
  <c r="F38" i="13"/>
  <c r="E38" i="13"/>
  <c r="D38" i="13"/>
  <c r="C38" i="13"/>
  <c r="A38" i="13"/>
  <c r="F37" i="13"/>
  <c r="E37" i="13"/>
  <c r="D37" i="13"/>
  <c r="C37" i="13"/>
  <c r="A37" i="13"/>
  <c r="F36" i="13"/>
  <c r="E36" i="13"/>
  <c r="D36" i="13"/>
  <c r="C36" i="13"/>
  <c r="A36" i="13"/>
  <c r="F35" i="13"/>
  <c r="E35" i="13"/>
  <c r="D35" i="13"/>
  <c r="C35" i="13"/>
  <c r="A35" i="13"/>
  <c r="F34" i="13"/>
  <c r="E34" i="13"/>
  <c r="D34" i="13"/>
  <c r="C34" i="13"/>
  <c r="A34" i="13"/>
  <c r="F33" i="13"/>
  <c r="E33" i="13"/>
  <c r="D33" i="13"/>
  <c r="C33" i="13"/>
  <c r="A33" i="13"/>
  <c r="F32" i="13"/>
  <c r="E32" i="13"/>
  <c r="D32" i="13"/>
  <c r="C32" i="13"/>
  <c r="A32" i="13"/>
  <c r="F31" i="13"/>
  <c r="E31" i="13"/>
  <c r="D31" i="13"/>
  <c r="C31" i="13"/>
  <c r="A31" i="13"/>
  <c r="F30" i="13"/>
  <c r="E30" i="13"/>
  <c r="D30" i="13"/>
  <c r="C30" i="13"/>
  <c r="A30" i="13"/>
  <c r="F29" i="13"/>
  <c r="E29" i="13"/>
  <c r="D29" i="13"/>
  <c r="C29" i="13"/>
  <c r="A29" i="13"/>
  <c r="F28" i="13"/>
  <c r="E28" i="13"/>
  <c r="D28" i="13"/>
  <c r="C28" i="13"/>
  <c r="A28" i="13"/>
  <c r="F27" i="13"/>
  <c r="E27" i="13"/>
  <c r="D27" i="13"/>
  <c r="C27" i="13"/>
  <c r="A27" i="13"/>
  <c r="F26" i="13"/>
  <c r="E26" i="13"/>
  <c r="D26" i="13"/>
  <c r="C26" i="13"/>
  <c r="A26" i="13"/>
  <c r="F25" i="13"/>
  <c r="E25" i="13"/>
  <c r="D25" i="13"/>
  <c r="C25" i="13"/>
  <c r="A25" i="13"/>
  <c r="F24" i="13"/>
  <c r="E24" i="13"/>
  <c r="D24" i="13"/>
  <c r="C24" i="13"/>
  <c r="A24" i="13"/>
  <c r="F23" i="13"/>
  <c r="E23" i="13"/>
  <c r="D23" i="13"/>
  <c r="C23" i="13"/>
  <c r="A23" i="13"/>
  <c r="F22" i="13"/>
  <c r="E22" i="13"/>
  <c r="D22" i="13"/>
  <c r="C22" i="13"/>
  <c r="A22" i="13"/>
  <c r="F21" i="13"/>
  <c r="E21" i="13"/>
  <c r="D21" i="13"/>
  <c r="C21" i="13"/>
  <c r="A21" i="13"/>
  <c r="F20" i="13"/>
  <c r="E20" i="13"/>
  <c r="D20" i="13"/>
  <c r="C20" i="13"/>
  <c r="A20" i="13"/>
  <c r="F19" i="13"/>
  <c r="E19" i="13"/>
  <c r="D19" i="13"/>
  <c r="C19" i="13"/>
  <c r="A19" i="13"/>
  <c r="F18" i="13"/>
  <c r="E18" i="13"/>
  <c r="D18" i="13"/>
  <c r="C18" i="13"/>
  <c r="A18" i="13"/>
  <c r="F17" i="13"/>
  <c r="E17" i="13"/>
  <c r="D17" i="13"/>
  <c r="C17" i="13"/>
  <c r="A17" i="13"/>
  <c r="F16" i="13"/>
  <c r="E16" i="13"/>
  <c r="D16" i="13"/>
  <c r="C16" i="13"/>
  <c r="A16" i="13"/>
  <c r="F15" i="13"/>
  <c r="E15" i="13"/>
  <c r="D15" i="13"/>
  <c r="C15" i="13"/>
  <c r="A15" i="13"/>
  <c r="F14" i="13"/>
  <c r="E14" i="13"/>
  <c r="D14" i="13"/>
  <c r="C14" i="13"/>
  <c r="A14" i="13"/>
  <c r="F13" i="13"/>
  <c r="E13" i="13"/>
  <c r="D13" i="13"/>
  <c r="C13" i="13"/>
  <c r="A13" i="13"/>
  <c r="F12" i="13"/>
  <c r="E12" i="13"/>
  <c r="D12" i="13"/>
  <c r="C12" i="13"/>
  <c r="A12" i="13"/>
  <c r="F11" i="13"/>
  <c r="E11" i="13"/>
  <c r="D11" i="13"/>
  <c r="C11" i="13"/>
  <c r="A11" i="13"/>
  <c r="F10" i="13"/>
  <c r="E10" i="13"/>
  <c r="D10" i="13"/>
  <c r="C10" i="13"/>
  <c r="A10" i="13"/>
  <c r="F9" i="13"/>
  <c r="E9" i="13"/>
  <c r="D9" i="13"/>
  <c r="C9" i="13"/>
  <c r="A9" i="13"/>
  <c r="F8" i="13"/>
  <c r="E8" i="13"/>
  <c r="D8" i="13"/>
  <c r="C8" i="13"/>
  <c r="A8" i="13"/>
  <c r="F7" i="13"/>
  <c r="E7" i="13"/>
  <c r="D7" i="13"/>
  <c r="C7" i="13"/>
  <c r="A7" i="13"/>
  <c r="F6" i="13"/>
  <c r="E6" i="13"/>
  <c r="D6" i="13"/>
  <c r="C6" i="13"/>
  <c r="A6" i="13"/>
  <c r="F5" i="13"/>
  <c r="E5" i="13"/>
  <c r="D5" i="13"/>
  <c r="C5" i="13"/>
  <c r="A5" i="13"/>
  <c r="O4" i="13"/>
  <c r="O5" i="13" s="1"/>
  <c r="O6" i="13" s="1"/>
  <c r="O7" i="13" s="1"/>
  <c r="O8" i="13" s="1"/>
  <c r="O9" i="13" s="1"/>
  <c r="O10" i="13" s="1"/>
  <c r="O11" i="13" s="1"/>
  <c r="O12" i="13" s="1"/>
  <c r="O13" i="13" s="1"/>
  <c r="O14" i="13" s="1"/>
  <c r="O15" i="13" s="1"/>
  <c r="O16" i="13" s="1"/>
  <c r="O17" i="13" s="1"/>
  <c r="O18" i="13" s="1"/>
  <c r="O19" i="13" s="1"/>
  <c r="O20" i="13" s="1"/>
  <c r="O21" i="13" s="1"/>
  <c r="O22" i="13" s="1"/>
  <c r="O23" i="13" s="1"/>
  <c r="O24" i="13" s="1"/>
  <c r="O25" i="13" s="1"/>
  <c r="O26" i="13" s="1"/>
  <c r="O27" i="13" s="1"/>
  <c r="O28" i="13" s="1"/>
  <c r="O29" i="13" s="1"/>
  <c r="O30" i="13" s="1"/>
  <c r="O31" i="13" s="1"/>
  <c r="O32" i="13" s="1"/>
  <c r="O33" i="13" s="1"/>
  <c r="O34" i="13" s="1"/>
  <c r="O35" i="13" s="1"/>
  <c r="O36" i="13" s="1"/>
  <c r="O37" i="13" s="1"/>
  <c r="O38" i="13" s="1"/>
  <c r="O39" i="13" s="1"/>
  <c r="O40" i="13" s="1"/>
  <c r="O41" i="13" s="1"/>
  <c r="O42" i="13" s="1"/>
  <c r="O43" i="13" s="1"/>
  <c r="O44" i="13" s="1"/>
  <c r="O45" i="13" s="1"/>
  <c r="O46" i="13" s="1"/>
  <c r="O47" i="13" s="1"/>
  <c r="N4" i="13"/>
  <c r="M4" i="13" s="1"/>
  <c r="L4" i="13"/>
  <c r="L5" i="13" s="1"/>
  <c r="L6" i="13" s="1"/>
  <c r="L7" i="13" s="1"/>
  <c r="L8" i="13" s="1"/>
  <c r="L9" i="13" s="1"/>
  <c r="L10" i="13" s="1"/>
  <c r="L11" i="13" s="1"/>
  <c r="L12" i="13" s="1"/>
  <c r="L13" i="13" s="1"/>
  <c r="L14" i="13" s="1"/>
  <c r="L15" i="13" s="1"/>
  <c r="L16" i="13" s="1"/>
  <c r="L17" i="13" s="1"/>
  <c r="L18" i="13" s="1"/>
  <c r="L19" i="13" s="1"/>
  <c r="L20" i="13" s="1"/>
  <c r="L21" i="13" s="1"/>
  <c r="L22" i="13" s="1"/>
  <c r="L23" i="13" s="1"/>
  <c r="L24" i="13" s="1"/>
  <c r="L25" i="13" s="1"/>
  <c r="L26" i="13" s="1"/>
  <c r="L27" i="13" s="1"/>
  <c r="L28" i="13" s="1"/>
  <c r="L29" i="13" s="1"/>
  <c r="L30" i="13" s="1"/>
  <c r="L31" i="13" s="1"/>
  <c r="L32" i="13" s="1"/>
  <c r="L33" i="13" s="1"/>
  <c r="L34" i="13" s="1"/>
  <c r="L35" i="13" s="1"/>
  <c r="L36" i="13" s="1"/>
  <c r="L37" i="13" s="1"/>
  <c r="L38" i="13" s="1"/>
  <c r="L39" i="13" s="1"/>
  <c r="L40" i="13" s="1"/>
  <c r="L41" i="13" s="1"/>
  <c r="L42" i="13" s="1"/>
  <c r="L43" i="13" s="1"/>
  <c r="L44" i="13" s="1"/>
  <c r="L45" i="13" s="1"/>
  <c r="L46" i="13" s="1"/>
  <c r="L47" i="13" s="1"/>
  <c r="F4" i="13"/>
  <c r="E4" i="13"/>
  <c r="D4" i="13"/>
  <c r="C4" i="13"/>
  <c r="A4" i="13"/>
  <c r="M3" i="13"/>
  <c r="F3" i="13"/>
  <c r="E3" i="13"/>
  <c r="D3" i="13"/>
  <c r="C3" i="13"/>
  <c r="A3" i="13"/>
  <c r="F2" i="13"/>
  <c r="E2" i="13"/>
  <c r="D2" i="13"/>
  <c r="C2" i="13"/>
  <c r="Q87" i="10"/>
  <c r="L87" i="10"/>
  <c r="B87" i="10"/>
  <c r="M87" i="10" s="1"/>
  <c r="Q86" i="10"/>
  <c r="L86" i="10"/>
  <c r="B86" i="10"/>
  <c r="M86" i="10" s="1"/>
  <c r="Q85" i="10"/>
  <c r="B85" i="10"/>
  <c r="R85" i="10" s="1"/>
  <c r="L85" i="10"/>
  <c r="Q84" i="10"/>
  <c r="L84" i="10"/>
  <c r="B84" i="10"/>
  <c r="R84" i="10" s="1"/>
  <c r="K84" i="10" s="1"/>
  <c r="Q83" i="10"/>
  <c r="L83" i="10"/>
  <c r="B83" i="10"/>
  <c r="M83" i="10" s="1"/>
  <c r="Q82" i="10"/>
  <c r="L82" i="10"/>
  <c r="B82" i="10"/>
  <c r="M82" i="10" s="1"/>
  <c r="Q81" i="10"/>
  <c r="L81" i="10"/>
  <c r="B81" i="10"/>
  <c r="M81" i="10" s="1"/>
  <c r="Q7" i="10"/>
  <c r="Q6" i="10"/>
  <c r="Q5" i="10"/>
  <c r="Q4" i="10"/>
  <c r="Q3" i="10"/>
  <c r="AD4" i="6"/>
  <c r="AD3" i="6"/>
  <c r="AC4" i="6"/>
  <c r="AC3" i="6"/>
  <c r="AC2" i="6"/>
  <c r="AE2" i="6"/>
  <c r="AD2" i="6"/>
  <c r="G72" i="12"/>
  <c r="G73" i="12"/>
  <c r="G74" i="12"/>
  <c r="G75" i="12"/>
  <c r="G76" i="12"/>
  <c r="G77" i="12"/>
  <c r="G78" i="12"/>
  <c r="G79" i="12"/>
  <c r="G80" i="12"/>
  <c r="G81" i="12"/>
  <c r="G86" i="12"/>
  <c r="G87" i="12"/>
  <c r="G88" i="12"/>
  <c r="G89" i="12"/>
  <c r="G90" i="12"/>
  <c r="G91" i="12"/>
  <c r="G92" i="12"/>
  <c r="G93" i="12"/>
  <c r="G95" i="12"/>
  <c r="G96" i="12"/>
  <c r="G97" i="12"/>
  <c r="G98" i="12"/>
  <c r="G99" i="12"/>
  <c r="G100" i="12"/>
  <c r="G101" i="12"/>
  <c r="G107" i="12"/>
  <c r="G111" i="12"/>
  <c r="G119" i="12"/>
  <c r="G120" i="12"/>
  <c r="G121" i="12"/>
  <c r="G122" i="12"/>
  <c r="G123" i="12"/>
  <c r="G124" i="12"/>
  <c r="G125" i="12"/>
  <c r="G126" i="12"/>
  <c r="G127" i="12"/>
  <c r="G128" i="12"/>
  <c r="G129" i="12"/>
  <c r="G130" i="12"/>
  <c r="G131" i="12"/>
  <c r="G132" i="12"/>
  <c r="G133" i="12"/>
  <c r="G134" i="12"/>
  <c r="G136" i="12"/>
  <c r="G137" i="12"/>
  <c r="G138" i="12"/>
  <c r="G142" i="12"/>
  <c r="G143" i="12"/>
  <c r="AC8" i="12"/>
  <c r="M181" i="12"/>
  <c r="L181" i="12"/>
  <c r="K181" i="12"/>
  <c r="J181" i="12"/>
  <c r="I181" i="12"/>
  <c r="H181" i="12"/>
  <c r="G181" i="12"/>
  <c r="F181" i="12"/>
  <c r="O178" i="12"/>
  <c r="N178" i="12"/>
  <c r="I178" i="12"/>
  <c r="G178" i="12"/>
  <c r="F178" i="12"/>
  <c r="A178" i="12"/>
  <c r="O177" i="12"/>
  <c r="N177" i="12"/>
  <c r="I177" i="12"/>
  <c r="G177" i="12"/>
  <c r="F177" i="12"/>
  <c r="A177" i="12"/>
  <c r="O176" i="12"/>
  <c r="N176" i="12"/>
  <c r="I176" i="12"/>
  <c r="G176" i="12"/>
  <c r="F176" i="12"/>
  <c r="A176" i="12"/>
  <c r="O175" i="12"/>
  <c r="N175" i="12"/>
  <c r="I175" i="12"/>
  <c r="G175" i="12"/>
  <c r="F175" i="12"/>
  <c r="A175" i="12"/>
  <c r="N174" i="12"/>
  <c r="I174" i="12"/>
  <c r="G174" i="12"/>
  <c r="F174" i="12"/>
  <c r="A174" i="12"/>
  <c r="O173" i="12"/>
  <c r="N173" i="12"/>
  <c r="I173" i="12"/>
  <c r="G173" i="12"/>
  <c r="F173" i="12"/>
  <c r="A173" i="12"/>
  <c r="O172" i="12"/>
  <c r="N172" i="12"/>
  <c r="I172" i="12"/>
  <c r="G172" i="12"/>
  <c r="F172" i="12"/>
  <c r="A172" i="12"/>
  <c r="O171" i="12"/>
  <c r="N171" i="12"/>
  <c r="I171" i="12"/>
  <c r="G171" i="12"/>
  <c r="F171" i="12"/>
  <c r="A171" i="12"/>
  <c r="O170" i="12"/>
  <c r="N170" i="12"/>
  <c r="I170" i="12"/>
  <c r="G170" i="12"/>
  <c r="F170" i="12"/>
  <c r="A170" i="12"/>
  <c r="O169" i="12"/>
  <c r="N169" i="12"/>
  <c r="I169" i="12"/>
  <c r="G169" i="12"/>
  <c r="F169" i="12"/>
  <c r="A169" i="12"/>
  <c r="O168" i="12"/>
  <c r="N168" i="12"/>
  <c r="I168" i="12"/>
  <c r="G168" i="12"/>
  <c r="F168" i="12"/>
  <c r="A168" i="12"/>
  <c r="O167" i="12"/>
  <c r="N167" i="12"/>
  <c r="I167" i="12"/>
  <c r="G167" i="12"/>
  <c r="F167" i="12"/>
  <c r="A167" i="12"/>
  <c r="O166" i="12"/>
  <c r="N166" i="12"/>
  <c r="I166" i="12"/>
  <c r="G166" i="12"/>
  <c r="F166" i="12"/>
  <c r="A166" i="12"/>
  <c r="O165" i="12"/>
  <c r="N165" i="12"/>
  <c r="I165" i="12"/>
  <c r="G165" i="12"/>
  <c r="F165" i="12"/>
  <c r="A165" i="12"/>
  <c r="O164" i="12"/>
  <c r="N164" i="12"/>
  <c r="I164" i="12"/>
  <c r="G164" i="12"/>
  <c r="F164" i="12"/>
  <c r="A164" i="12"/>
  <c r="O163" i="12"/>
  <c r="N163" i="12"/>
  <c r="I163" i="12"/>
  <c r="G163" i="12"/>
  <c r="F163" i="12"/>
  <c r="A163" i="12"/>
  <c r="O162" i="12"/>
  <c r="N162" i="12"/>
  <c r="I162" i="12"/>
  <c r="G162" i="12"/>
  <c r="F162" i="12"/>
  <c r="A162" i="12"/>
  <c r="O161" i="12"/>
  <c r="N161" i="12"/>
  <c r="I161" i="12"/>
  <c r="G161" i="12"/>
  <c r="A161" i="12"/>
  <c r="A157" i="12"/>
  <c r="A156" i="12"/>
  <c r="A155" i="12"/>
  <c r="E155" i="12" s="1"/>
  <c r="A154" i="12"/>
  <c r="E154" i="12" s="1"/>
  <c r="A153" i="12"/>
  <c r="A152" i="12"/>
  <c r="A151" i="12"/>
  <c r="A150" i="12"/>
  <c r="A149" i="12"/>
  <c r="A148" i="12"/>
  <c r="A147" i="12"/>
  <c r="A146" i="12"/>
  <c r="A145" i="12"/>
  <c r="A144" i="12"/>
  <c r="A143" i="12"/>
  <c r="A142" i="12"/>
  <c r="E142" i="12" s="1"/>
  <c r="A141" i="12"/>
  <c r="E140" i="12"/>
  <c r="A140" i="12"/>
  <c r="E139" i="12"/>
  <c r="A139" i="12"/>
  <c r="E138" i="12"/>
  <c r="A138" i="12"/>
  <c r="E137" i="12"/>
  <c r="A137" i="12"/>
  <c r="E136" i="12"/>
  <c r="A136" i="12"/>
  <c r="A135" i="12"/>
  <c r="F134" i="12"/>
  <c r="E134" i="12"/>
  <c r="A134" i="12"/>
  <c r="F133" i="12"/>
  <c r="E133" i="12"/>
  <c r="A133" i="12"/>
  <c r="F132" i="12"/>
  <c r="E132" i="12"/>
  <c r="A132" i="12"/>
  <c r="F131" i="12"/>
  <c r="E131" i="12"/>
  <c r="A131" i="12"/>
  <c r="F130" i="12"/>
  <c r="E130" i="12"/>
  <c r="A130" i="12"/>
  <c r="F129" i="12"/>
  <c r="E129" i="12"/>
  <c r="A129" i="12"/>
  <c r="F128" i="12"/>
  <c r="E128" i="12"/>
  <c r="A128" i="12"/>
  <c r="F127" i="12"/>
  <c r="E127" i="12"/>
  <c r="A127" i="12"/>
  <c r="F126" i="12"/>
  <c r="E126" i="12"/>
  <c r="A126" i="12"/>
  <c r="F125" i="12"/>
  <c r="E125" i="12"/>
  <c r="A125" i="12"/>
  <c r="F124" i="12"/>
  <c r="E124" i="12"/>
  <c r="A124" i="12"/>
  <c r="F123" i="12"/>
  <c r="E123" i="12"/>
  <c r="A123" i="12"/>
  <c r="F122" i="12"/>
  <c r="E122" i="12"/>
  <c r="A122" i="12"/>
  <c r="F121" i="12"/>
  <c r="E121" i="12"/>
  <c r="A121" i="12"/>
  <c r="F120" i="12"/>
  <c r="E120" i="12"/>
  <c r="A120" i="12"/>
  <c r="F119" i="12"/>
  <c r="E119" i="12"/>
  <c r="A119" i="12"/>
  <c r="E118" i="12"/>
  <c r="A118" i="12"/>
  <c r="E117" i="12"/>
  <c r="A117" i="12"/>
  <c r="E116" i="12"/>
  <c r="A116" i="12"/>
  <c r="E115" i="12"/>
  <c r="A115" i="12"/>
  <c r="E114" i="12"/>
  <c r="A114" i="12"/>
  <c r="E113" i="12"/>
  <c r="A113" i="12"/>
  <c r="E112" i="12"/>
  <c r="A112" i="12"/>
  <c r="F111" i="12"/>
  <c r="E111" i="12"/>
  <c r="A111" i="12"/>
  <c r="E110" i="12"/>
  <c r="A110" i="12"/>
  <c r="E109" i="12"/>
  <c r="A109" i="12"/>
  <c r="E108" i="12"/>
  <c r="A108" i="12"/>
  <c r="F107" i="12"/>
  <c r="E107" i="12"/>
  <c r="A107" i="12"/>
  <c r="E106" i="12"/>
  <c r="A106" i="12"/>
  <c r="E105" i="12"/>
  <c r="A105" i="12"/>
  <c r="E104" i="12"/>
  <c r="A104" i="12"/>
  <c r="E103" i="12"/>
  <c r="A103" i="12"/>
  <c r="E102" i="12"/>
  <c r="A102" i="12"/>
  <c r="F101" i="12"/>
  <c r="E101" i="12"/>
  <c r="A101" i="12"/>
  <c r="F100" i="12"/>
  <c r="E100" i="12"/>
  <c r="A100" i="12"/>
  <c r="F99" i="12"/>
  <c r="E99" i="12"/>
  <c r="A99" i="12"/>
  <c r="F98" i="12"/>
  <c r="E98" i="12"/>
  <c r="A98" i="12"/>
  <c r="F97" i="12"/>
  <c r="E97" i="12"/>
  <c r="A97" i="12"/>
  <c r="E96" i="12"/>
  <c r="A96" i="12"/>
  <c r="E95" i="12"/>
  <c r="A95" i="12"/>
  <c r="E94" i="12"/>
  <c r="A94" i="12"/>
  <c r="E93" i="12"/>
  <c r="A93" i="12"/>
  <c r="E92" i="12"/>
  <c r="A92" i="12"/>
  <c r="E91" i="12"/>
  <c r="A91" i="12"/>
  <c r="E90" i="12"/>
  <c r="A90" i="12"/>
  <c r="F89" i="12"/>
  <c r="E89" i="12"/>
  <c r="A89" i="12"/>
  <c r="F88" i="12"/>
  <c r="E88" i="12"/>
  <c r="A88" i="12"/>
  <c r="F87" i="12"/>
  <c r="E87" i="12"/>
  <c r="A87" i="12"/>
  <c r="F86" i="12"/>
  <c r="E86" i="12"/>
  <c r="A86" i="12"/>
  <c r="F85" i="12"/>
  <c r="E85" i="12"/>
  <c r="A85" i="12"/>
  <c r="E84" i="12"/>
  <c r="A84" i="12"/>
  <c r="E83" i="12"/>
  <c r="A83" i="12"/>
  <c r="E82" i="12"/>
  <c r="A82" i="12"/>
  <c r="F81" i="12"/>
  <c r="E81" i="12"/>
  <c r="A81" i="12"/>
  <c r="F80" i="12"/>
  <c r="E80" i="12"/>
  <c r="A80" i="12"/>
  <c r="F79" i="12"/>
  <c r="E79" i="12"/>
  <c r="A79" i="12"/>
  <c r="F78" i="12"/>
  <c r="E78" i="12"/>
  <c r="A78" i="12"/>
  <c r="F77" i="12"/>
  <c r="E77" i="12"/>
  <c r="A77" i="12"/>
  <c r="F76" i="12"/>
  <c r="E76" i="12"/>
  <c r="A76" i="12"/>
  <c r="F75" i="12"/>
  <c r="E75" i="12"/>
  <c r="A75" i="12"/>
  <c r="F74" i="12"/>
  <c r="E74" i="12"/>
  <c r="A74" i="12"/>
  <c r="F73" i="12"/>
  <c r="E73" i="12"/>
  <c r="A73" i="12"/>
  <c r="F72" i="12"/>
  <c r="E72" i="12"/>
  <c r="A72" i="12"/>
  <c r="G71" i="12"/>
  <c r="F71" i="12"/>
  <c r="E71" i="12"/>
  <c r="A71" i="12"/>
  <c r="G70" i="12"/>
  <c r="F70" i="12"/>
  <c r="E70" i="12"/>
  <c r="A70" i="12"/>
  <c r="G69" i="12"/>
  <c r="F69" i="12"/>
  <c r="E69" i="12"/>
  <c r="A69" i="12"/>
  <c r="B14" i="12"/>
  <c r="O13" i="12"/>
  <c r="N13" i="12"/>
  <c r="M13" i="12"/>
  <c r="L13" i="12"/>
  <c r="K13" i="12"/>
  <c r="J13" i="12"/>
  <c r="I13" i="12"/>
  <c r="H13" i="12"/>
  <c r="G13" i="12"/>
  <c r="F13" i="12"/>
  <c r="A13" i="12"/>
  <c r="B13" i="12"/>
  <c r="L12" i="12"/>
  <c r="J12" i="12"/>
  <c r="I12" i="12"/>
  <c r="H12" i="12"/>
  <c r="F12" i="12"/>
  <c r="N11" i="12"/>
  <c r="A11" i="12"/>
  <c r="N12" i="12"/>
  <c r="M12" i="12"/>
  <c r="AF7" i="12"/>
  <c r="AF8" i="12"/>
  <c r="AF6" i="12"/>
  <c r="AF3" i="12"/>
  <c r="AF5" i="12"/>
  <c r="AF4" i="12"/>
  <c r="E7" i="12"/>
  <c r="E6" i="12"/>
  <c r="E5" i="12"/>
  <c r="E4" i="12"/>
  <c r="E3" i="12"/>
  <c r="AI3" i="12"/>
  <c r="AH3" i="12"/>
  <c r="N1" i="12"/>
  <c r="M1" i="12"/>
  <c r="L1" i="12"/>
  <c r="K1" i="12"/>
  <c r="J1" i="12"/>
  <c r="I1" i="12"/>
  <c r="H1" i="12"/>
  <c r="G1" i="12"/>
  <c r="F1" i="12"/>
  <c r="A4" i="12"/>
  <c r="A1" i="12"/>
  <c r="AM3" i="12"/>
  <c r="E12" i="9"/>
  <c r="E11" i="9"/>
  <c r="E10" i="9"/>
  <c r="H10" i="9"/>
  <c r="A11" i="9"/>
  <c r="B2" i="6"/>
  <c r="B1" i="6"/>
  <c r="O2" i="9"/>
  <c r="N2" i="9"/>
  <c r="F104" i="12"/>
  <c r="F102" i="12"/>
  <c r="F94" i="12"/>
  <c r="F93" i="12"/>
  <c r="F109" i="12"/>
  <c r="F108" i="12"/>
  <c r="G108" i="12"/>
  <c r="G110" i="12"/>
  <c r="G117" i="12"/>
  <c r="G115" i="12"/>
  <c r="G104" i="12"/>
  <c r="G102" i="12"/>
  <c r="B117" i="10"/>
  <c r="B116" i="10"/>
  <c r="B115" i="10"/>
  <c r="B114" i="10"/>
  <c r="B113" i="10"/>
  <c r="B112" i="10"/>
  <c r="B111" i="10"/>
  <c r="B110" i="10"/>
  <c r="B109" i="10"/>
  <c r="B108" i="10"/>
  <c r="B39" i="10"/>
  <c r="R39" i="10" s="1"/>
  <c r="B38" i="10"/>
  <c r="R38" i="10" s="1"/>
  <c r="L38" i="10" s="1"/>
  <c r="B37" i="10"/>
  <c r="R37" i="10" s="1"/>
  <c r="L37" i="10" s="1"/>
  <c r="B36" i="10"/>
  <c r="R36" i="10" s="1"/>
  <c r="B35" i="10"/>
  <c r="R35" i="10" s="1"/>
  <c r="B34" i="10"/>
  <c r="R34" i="10" s="1"/>
  <c r="B25" i="10"/>
  <c r="R25" i="10" s="1"/>
  <c r="B24" i="10"/>
  <c r="R24" i="10" s="1"/>
  <c r="B23" i="10"/>
  <c r="R23" i="10" s="1"/>
  <c r="B22" i="10"/>
  <c r="R22" i="10" s="1"/>
  <c r="B21" i="10"/>
  <c r="R21" i="10" s="1"/>
  <c r="B20" i="10"/>
  <c r="R20" i="10" s="1"/>
  <c r="B60" i="10"/>
  <c r="B59" i="10"/>
  <c r="B58" i="10"/>
  <c r="B57" i="10"/>
  <c r="B56" i="10"/>
  <c r="B55" i="10"/>
  <c r="B54" i="10"/>
  <c r="O54" i="10"/>
  <c r="B53" i="10"/>
  <c r="B46" i="10"/>
  <c r="B45" i="10"/>
  <c r="B44" i="10"/>
  <c r="O44" i="10"/>
  <c r="B43" i="10"/>
  <c r="Q88" i="10"/>
  <c r="L88" i="10"/>
  <c r="B88" i="10"/>
  <c r="R88" i="10" s="1"/>
  <c r="Q80" i="10"/>
  <c r="L80" i="10"/>
  <c r="B80" i="10"/>
  <c r="M80" i="10" s="1"/>
  <c r="Q79" i="10"/>
  <c r="L79" i="10"/>
  <c r="B79" i="10"/>
  <c r="M79" i="10" s="1"/>
  <c r="Q78" i="10"/>
  <c r="L78" i="10"/>
  <c r="B78" i="10"/>
  <c r="M78" i="10" s="1"/>
  <c r="Q71" i="10"/>
  <c r="L71" i="10"/>
  <c r="B71" i="10"/>
  <c r="M71" i="10" s="1"/>
  <c r="Q70" i="10"/>
  <c r="L70" i="10"/>
  <c r="B70" i="10"/>
  <c r="M70" i="10" s="1"/>
  <c r="Q69" i="10"/>
  <c r="L69" i="10"/>
  <c r="B69" i="10"/>
  <c r="R69" i="10" s="1"/>
  <c r="Q68" i="10"/>
  <c r="L68" i="10"/>
  <c r="B68" i="10"/>
  <c r="M68" i="10" s="1"/>
  <c r="Q67" i="10"/>
  <c r="B67" i="10"/>
  <c r="M67" i="10" s="1"/>
  <c r="Q66" i="10"/>
  <c r="B66" i="10"/>
  <c r="M66" i="10" s="1"/>
  <c r="Q65" i="10"/>
  <c r="B65" i="10"/>
  <c r="R65" i="10" s="1"/>
  <c r="Q64" i="10"/>
  <c r="B64" i="10"/>
  <c r="M64" i="10" s="1"/>
  <c r="O60" i="10"/>
  <c r="O59" i="10"/>
  <c r="O58" i="10"/>
  <c r="O57" i="10"/>
  <c r="O56" i="10"/>
  <c r="O55" i="10"/>
  <c r="O53" i="10"/>
  <c r="O46" i="10"/>
  <c r="O45" i="10"/>
  <c r="O43" i="10"/>
  <c r="BC100" i="5"/>
  <c r="BC101" i="5" s="1"/>
  <c r="BC102" i="5" s="1"/>
  <c r="BB100" i="5"/>
  <c r="BB101" i="5" s="1"/>
  <c r="BB102" i="5" s="1"/>
  <c r="BA100" i="5"/>
  <c r="BA101" i="5" s="1"/>
  <c r="BA102" i="5" s="1"/>
  <c r="AZ100" i="5"/>
  <c r="AZ101" i="5" s="1"/>
  <c r="AZ102" i="5" s="1"/>
  <c r="AY100" i="5"/>
  <c r="AY101" i="5" s="1"/>
  <c r="AY102" i="5" s="1"/>
  <c r="AX100" i="5"/>
  <c r="AX101" i="5" s="1"/>
  <c r="AX102" i="5" s="1"/>
  <c r="AW100" i="5"/>
  <c r="AW101" i="5" s="1"/>
  <c r="AW102" i="5" s="1"/>
  <c r="AV100" i="5"/>
  <c r="AV101" i="5" s="1"/>
  <c r="AV102" i="5" s="1"/>
  <c r="AU100" i="5"/>
  <c r="AU101" i="5" s="1"/>
  <c r="AU102" i="5" s="1"/>
  <c r="AT100" i="5"/>
  <c r="AT101" i="5" s="1"/>
  <c r="AT102" i="5" s="1"/>
  <c r="AS100" i="5"/>
  <c r="AS101" i="5" s="1"/>
  <c r="AS102" i="5" s="1"/>
  <c r="AR100" i="5"/>
  <c r="AR101" i="5"/>
  <c r="AR102" i="5" s="1"/>
  <c r="AQ100" i="5"/>
  <c r="AQ101" i="5" s="1"/>
  <c r="AQ102" i="5" s="1"/>
  <c r="AP100" i="5"/>
  <c r="AP101" i="5"/>
  <c r="AP102" i="5" s="1"/>
  <c r="AO95" i="5"/>
  <c r="AO96" i="5"/>
  <c r="AO97" i="5" s="1"/>
  <c r="AO98" i="5" s="1"/>
  <c r="AO99" i="5" s="1"/>
  <c r="AO100" i="5" s="1"/>
  <c r="AO101" i="5" s="1"/>
  <c r="AO102" i="5" s="1"/>
  <c r="AN95" i="5"/>
  <c r="AN96" i="5"/>
  <c r="AN97" i="5" s="1"/>
  <c r="AN98" i="5" s="1"/>
  <c r="AN99" i="5" s="1"/>
  <c r="AN100" i="5" s="1"/>
  <c r="AN101" i="5" s="1"/>
  <c r="AN102" i="5" s="1"/>
  <c r="AM90" i="5"/>
  <c r="AM91" i="5" s="1"/>
  <c r="AM92" i="5" s="1"/>
  <c r="AM93" i="5" s="1"/>
  <c r="AM94" i="5" s="1"/>
  <c r="AM95" i="5" s="1"/>
  <c r="AM96" i="5" s="1"/>
  <c r="AM97" i="5" s="1"/>
  <c r="AM98" i="5" s="1"/>
  <c r="AM99" i="5" s="1"/>
  <c r="AM100" i="5" s="1"/>
  <c r="AM101" i="5" s="1"/>
  <c r="AM102" i="5" s="1"/>
  <c r="AL90" i="5"/>
  <c r="AL91" i="5"/>
  <c r="AL92" i="5" s="1"/>
  <c r="AL93" i="5" s="1"/>
  <c r="AL94" i="5" s="1"/>
  <c r="AL95" i="5" s="1"/>
  <c r="AL96" i="5" s="1"/>
  <c r="AL97" i="5" s="1"/>
  <c r="AL98" i="5" s="1"/>
  <c r="AL99" i="5" s="1"/>
  <c r="AL100" i="5" s="1"/>
  <c r="AL101" i="5" s="1"/>
  <c r="AL102" i="5" s="1"/>
  <c r="AK85" i="5"/>
  <c r="AK86" i="5" s="1"/>
  <c r="AK87" i="5" s="1"/>
  <c r="AK88" i="5" s="1"/>
  <c r="AK89" i="5" s="1"/>
  <c r="AK90" i="5" s="1"/>
  <c r="AK91" i="5" s="1"/>
  <c r="AK92" i="5" s="1"/>
  <c r="AK93" i="5" s="1"/>
  <c r="AK94" i="5" s="1"/>
  <c r="AK95" i="5" s="1"/>
  <c r="AK96" i="5" s="1"/>
  <c r="AK97" i="5" s="1"/>
  <c r="AK98" i="5" s="1"/>
  <c r="AK99" i="5" s="1"/>
  <c r="AK100" i="5" s="1"/>
  <c r="AK101" i="5" s="1"/>
  <c r="AK102" i="5" s="1"/>
  <c r="AJ85" i="5"/>
  <c r="AJ86" i="5" s="1"/>
  <c r="AJ87" i="5" s="1"/>
  <c r="AJ88" i="5" s="1"/>
  <c r="AJ89" i="5" s="1"/>
  <c r="AJ90" i="5" s="1"/>
  <c r="AJ91" i="5" s="1"/>
  <c r="AJ92" i="5" s="1"/>
  <c r="AJ93" i="5" s="1"/>
  <c r="AJ94" i="5" s="1"/>
  <c r="AJ95" i="5" s="1"/>
  <c r="AJ96" i="5" s="1"/>
  <c r="AJ97" i="5" s="1"/>
  <c r="AJ98" i="5" s="1"/>
  <c r="AJ99" i="5" s="1"/>
  <c r="AJ100" i="5" s="1"/>
  <c r="AJ101" i="5" s="1"/>
  <c r="AJ102" i="5" s="1"/>
  <c r="AI80" i="5"/>
  <c r="AI81" i="5" s="1"/>
  <c r="AI82" i="5" s="1"/>
  <c r="AI83" i="5" s="1"/>
  <c r="AI84" i="5" s="1"/>
  <c r="AI85" i="5" s="1"/>
  <c r="AI86" i="5" s="1"/>
  <c r="AI87" i="5" s="1"/>
  <c r="AI88" i="5" s="1"/>
  <c r="AI89" i="5" s="1"/>
  <c r="AI90" i="5" s="1"/>
  <c r="AI91" i="5" s="1"/>
  <c r="AI92" i="5" s="1"/>
  <c r="AI93" i="5" s="1"/>
  <c r="AI94" i="5" s="1"/>
  <c r="AI95" i="5" s="1"/>
  <c r="AI96" i="5" s="1"/>
  <c r="AI97" i="5" s="1"/>
  <c r="AI98" i="5" s="1"/>
  <c r="AI99" i="5" s="1"/>
  <c r="AI100" i="5" s="1"/>
  <c r="AI101" i="5" s="1"/>
  <c r="AI102" i="5" s="1"/>
  <c r="AH80" i="5"/>
  <c r="AH81" i="5"/>
  <c r="AH82" i="5" s="1"/>
  <c r="AH83" i="5" s="1"/>
  <c r="AH84" i="5" s="1"/>
  <c r="AH85" i="5" s="1"/>
  <c r="AH86" i="5" s="1"/>
  <c r="AH87" i="5" s="1"/>
  <c r="AH88" i="5" s="1"/>
  <c r="AH89" i="5" s="1"/>
  <c r="AH90" i="5" s="1"/>
  <c r="AH91" i="5" s="1"/>
  <c r="AH92" i="5" s="1"/>
  <c r="AH93" i="5" s="1"/>
  <c r="AH94" i="5" s="1"/>
  <c r="AH95" i="5" s="1"/>
  <c r="AH96" i="5" s="1"/>
  <c r="AH97" i="5" s="1"/>
  <c r="AH98" i="5" s="1"/>
  <c r="AH99" i="5" s="1"/>
  <c r="AH100" i="5" s="1"/>
  <c r="AH101" i="5" s="1"/>
  <c r="AH102" i="5" s="1"/>
  <c r="AG75" i="5"/>
  <c r="AG76" i="5" s="1"/>
  <c r="AG77" i="5" s="1"/>
  <c r="AG78" i="5" s="1"/>
  <c r="AG79" i="5"/>
  <c r="AG80" i="5" s="1"/>
  <c r="AG81" i="5" s="1"/>
  <c r="AG82" i="5" s="1"/>
  <c r="AG83" i="5" s="1"/>
  <c r="AG84" i="5" s="1"/>
  <c r="AG85" i="5" s="1"/>
  <c r="AG86" i="5" s="1"/>
  <c r="AG87" i="5" s="1"/>
  <c r="AG88" i="5" s="1"/>
  <c r="AG89" i="5" s="1"/>
  <c r="AG90" i="5" s="1"/>
  <c r="AG91" i="5" s="1"/>
  <c r="AG92" i="5" s="1"/>
  <c r="AG93" i="5" s="1"/>
  <c r="AG94" i="5" s="1"/>
  <c r="AG95" i="5" s="1"/>
  <c r="AG96" i="5" s="1"/>
  <c r="AG97" i="5" s="1"/>
  <c r="AG98" i="5" s="1"/>
  <c r="AG99" i="5" s="1"/>
  <c r="AG100" i="5" s="1"/>
  <c r="AG101" i="5" s="1"/>
  <c r="AG102" i="5" s="1"/>
  <c r="AF75" i="5"/>
  <c r="AF76" i="5"/>
  <c r="AF77" i="5" s="1"/>
  <c r="AF78" i="5" s="1"/>
  <c r="AF79" i="5" s="1"/>
  <c r="AF80" i="5" s="1"/>
  <c r="AF81" i="5" s="1"/>
  <c r="AF82" i="5" s="1"/>
  <c r="AF83" i="5" s="1"/>
  <c r="AF84" i="5" s="1"/>
  <c r="AF85" i="5" s="1"/>
  <c r="AF86" i="5" s="1"/>
  <c r="AF87" i="5" s="1"/>
  <c r="AF88" i="5" s="1"/>
  <c r="AF89" i="5" s="1"/>
  <c r="AF90" i="5" s="1"/>
  <c r="AF91" i="5" s="1"/>
  <c r="AF92" i="5" s="1"/>
  <c r="AF93" i="5" s="1"/>
  <c r="AF94" i="5" s="1"/>
  <c r="AF95" i="5" s="1"/>
  <c r="AF96" i="5" s="1"/>
  <c r="AF97" i="5" s="1"/>
  <c r="AF98" i="5" s="1"/>
  <c r="AF99" i="5" s="1"/>
  <c r="AF100" i="5" s="1"/>
  <c r="AF101" i="5" s="1"/>
  <c r="AF102" i="5" s="1"/>
  <c r="AE70" i="5"/>
  <c r="AE71" i="5" s="1"/>
  <c r="AE72" i="5" s="1"/>
  <c r="AE73" i="5" s="1"/>
  <c r="AE74" i="5" s="1"/>
  <c r="AE75" i="5" s="1"/>
  <c r="AE76" i="5" s="1"/>
  <c r="AE77" i="5"/>
  <c r="AE78" i="5" s="1"/>
  <c r="AE79" i="5" s="1"/>
  <c r="AE80" i="5" s="1"/>
  <c r="AE81" i="5" s="1"/>
  <c r="AE82" i="5" s="1"/>
  <c r="AE83" i="5" s="1"/>
  <c r="AE84" i="5" s="1"/>
  <c r="AE85" i="5" s="1"/>
  <c r="AE86" i="5" s="1"/>
  <c r="AE87" i="5" s="1"/>
  <c r="AE88" i="5" s="1"/>
  <c r="AE89" i="5" s="1"/>
  <c r="AE90" i="5" s="1"/>
  <c r="AE91" i="5" s="1"/>
  <c r="AE92" i="5" s="1"/>
  <c r="AE93" i="5" s="1"/>
  <c r="AE94" i="5" s="1"/>
  <c r="AE95" i="5" s="1"/>
  <c r="AE96" i="5" s="1"/>
  <c r="AE97" i="5" s="1"/>
  <c r="AE98" i="5" s="1"/>
  <c r="AE99" i="5" s="1"/>
  <c r="AE100" i="5" s="1"/>
  <c r="AE101" i="5" s="1"/>
  <c r="AE102" i="5" s="1"/>
  <c r="AD70" i="5"/>
  <c r="AD71" i="5" s="1"/>
  <c r="AD72" i="5" s="1"/>
  <c r="AD73" i="5" s="1"/>
  <c r="AD74" i="5" s="1"/>
  <c r="AD75" i="5" s="1"/>
  <c r="AD76" i="5" s="1"/>
  <c r="AD77" i="5" s="1"/>
  <c r="AD78" i="5" s="1"/>
  <c r="AD79" i="5" s="1"/>
  <c r="AD80" i="5" s="1"/>
  <c r="AD81" i="5" s="1"/>
  <c r="AD82" i="5" s="1"/>
  <c r="AD83" i="5" s="1"/>
  <c r="AD84" i="5" s="1"/>
  <c r="AD85" i="5" s="1"/>
  <c r="AD86" i="5" s="1"/>
  <c r="AD87" i="5" s="1"/>
  <c r="AD88" i="5" s="1"/>
  <c r="AD89" i="5" s="1"/>
  <c r="AD90" i="5" s="1"/>
  <c r="AD91" i="5" s="1"/>
  <c r="AD92" i="5" s="1"/>
  <c r="AD93" i="5" s="1"/>
  <c r="AD94" i="5" s="1"/>
  <c r="AD95" i="5" s="1"/>
  <c r="AD96" i="5" s="1"/>
  <c r="AD97" i="5" s="1"/>
  <c r="AD98" i="5" s="1"/>
  <c r="AD99" i="5" s="1"/>
  <c r="AD100" i="5" s="1"/>
  <c r="AD101" i="5" s="1"/>
  <c r="AD102" i="5" s="1"/>
  <c r="BC95" i="5"/>
  <c r="BC96" i="5" s="1"/>
  <c r="BC97" i="5" s="1"/>
  <c r="BC98" i="5" s="1"/>
  <c r="BB95" i="5"/>
  <c r="BB96" i="5" s="1"/>
  <c r="BB97" i="5" s="1"/>
  <c r="BB98" i="5" s="1"/>
  <c r="BA95" i="5"/>
  <c r="BA96" i="5" s="1"/>
  <c r="BA97" i="5" s="1"/>
  <c r="BA98" i="5" s="1"/>
  <c r="AZ95" i="5"/>
  <c r="AZ96" i="5" s="1"/>
  <c r="AZ97" i="5" s="1"/>
  <c r="AZ98" i="5" s="1"/>
  <c r="AY95" i="5"/>
  <c r="AY96" i="5" s="1"/>
  <c r="AY97" i="5" s="1"/>
  <c r="AY98" i="5" s="1"/>
  <c r="AX95" i="5"/>
  <c r="AX96" i="5" s="1"/>
  <c r="AX97" i="5" s="1"/>
  <c r="AX98" i="5" s="1"/>
  <c r="AW95" i="5"/>
  <c r="AW96" i="5" s="1"/>
  <c r="AW97" i="5" s="1"/>
  <c r="AW98" i="5" s="1"/>
  <c r="AV95" i="5"/>
  <c r="AV96" i="5" s="1"/>
  <c r="AV97" i="5" s="1"/>
  <c r="AV98" i="5" s="1"/>
  <c r="AU95" i="5"/>
  <c r="AU96" i="5"/>
  <c r="AU97" i="5" s="1"/>
  <c r="AU98" i="5" s="1"/>
  <c r="AT95" i="5"/>
  <c r="AT96" i="5"/>
  <c r="AT97" i="5" s="1"/>
  <c r="AT98" i="5" s="1"/>
  <c r="AS95" i="5"/>
  <c r="AS96" i="5" s="1"/>
  <c r="AS97" i="5" s="1"/>
  <c r="AS98" i="5" s="1"/>
  <c r="AR95" i="5"/>
  <c r="AR96" i="5"/>
  <c r="AR97" i="5" s="1"/>
  <c r="AR98" i="5" s="1"/>
  <c r="AQ95" i="5"/>
  <c r="AQ96" i="5"/>
  <c r="AQ97" i="5" s="1"/>
  <c r="AQ98" i="5" s="1"/>
  <c r="AP95" i="5"/>
  <c r="AP96" i="5"/>
  <c r="AP97" i="5" s="1"/>
  <c r="AP98" i="5" s="1"/>
  <c r="BC90" i="5"/>
  <c r="BC91" i="5" s="1"/>
  <c r="BC92" i="5" s="1"/>
  <c r="BC93" i="5" s="1"/>
  <c r="BB90" i="5"/>
  <c r="BB91" i="5" s="1"/>
  <c r="BB92" i="5" s="1"/>
  <c r="BB93" i="5" s="1"/>
  <c r="BA90" i="5"/>
  <c r="BA91" i="5" s="1"/>
  <c r="BA92" i="5" s="1"/>
  <c r="BA93" i="5" s="1"/>
  <c r="AZ90" i="5"/>
  <c r="AZ91" i="5" s="1"/>
  <c r="AZ92" i="5" s="1"/>
  <c r="AZ93" i="5" s="1"/>
  <c r="AY90" i="5"/>
  <c r="AY91" i="5" s="1"/>
  <c r="AY92" i="5" s="1"/>
  <c r="AY93" i="5" s="1"/>
  <c r="AX90" i="5"/>
  <c r="AX91" i="5" s="1"/>
  <c r="AX92" i="5" s="1"/>
  <c r="AX93" i="5" s="1"/>
  <c r="AW90" i="5"/>
  <c r="AW91" i="5" s="1"/>
  <c r="AW92" i="5" s="1"/>
  <c r="AW93" i="5" s="1"/>
  <c r="AV90" i="5"/>
  <c r="AV91" i="5" s="1"/>
  <c r="AV92" i="5" s="1"/>
  <c r="AV93" i="5" s="1"/>
  <c r="AU90" i="5"/>
  <c r="AU91" i="5" s="1"/>
  <c r="AU92" i="5" s="1"/>
  <c r="AU93" i="5" s="1"/>
  <c r="AT90" i="5"/>
  <c r="AT91" i="5" s="1"/>
  <c r="AT92" i="5" s="1"/>
  <c r="AT93" i="5" s="1"/>
  <c r="AS90" i="5"/>
  <c r="AS91" i="5"/>
  <c r="AS92" i="5" s="1"/>
  <c r="AS93" i="5" s="1"/>
  <c r="AR90" i="5"/>
  <c r="AR91" i="5" s="1"/>
  <c r="AR92" i="5" s="1"/>
  <c r="AR93" i="5" s="1"/>
  <c r="AQ90" i="5"/>
  <c r="AQ91" i="5"/>
  <c r="AQ92" i="5" s="1"/>
  <c r="AQ93" i="5" s="1"/>
  <c r="AP90" i="5"/>
  <c r="AP91" i="5"/>
  <c r="AP92" i="5" s="1"/>
  <c r="AP93" i="5" s="1"/>
  <c r="AO90" i="5"/>
  <c r="AO91" i="5"/>
  <c r="AO92" i="5" s="1"/>
  <c r="AO93" i="5" s="1"/>
  <c r="AN90" i="5"/>
  <c r="AN91" i="5" s="1"/>
  <c r="AN92" i="5" s="1"/>
  <c r="AN93" i="5" s="1"/>
  <c r="BC85" i="5"/>
  <c r="BC86" i="5"/>
  <c r="BC87" i="5" s="1"/>
  <c r="BC88" i="5" s="1"/>
  <c r="BB85" i="5"/>
  <c r="BB86" i="5" s="1"/>
  <c r="BB87" i="5" s="1"/>
  <c r="BB88" i="5" s="1"/>
  <c r="BA85" i="5"/>
  <c r="BA86" i="5" s="1"/>
  <c r="BA87" i="5" s="1"/>
  <c r="BA88" i="5" s="1"/>
  <c r="AZ85" i="5"/>
  <c r="AZ86" i="5" s="1"/>
  <c r="AZ87" i="5" s="1"/>
  <c r="AZ88" i="5" s="1"/>
  <c r="AY85" i="5"/>
  <c r="AY86" i="5" s="1"/>
  <c r="AY87" i="5" s="1"/>
  <c r="AY88" i="5" s="1"/>
  <c r="AX85" i="5"/>
  <c r="AX86" i="5" s="1"/>
  <c r="AX87" i="5" s="1"/>
  <c r="AX88" i="5" s="1"/>
  <c r="AW85" i="5"/>
  <c r="AW86" i="5" s="1"/>
  <c r="AW87" i="5" s="1"/>
  <c r="AW88" i="5" s="1"/>
  <c r="AV85" i="5"/>
  <c r="AV86" i="5" s="1"/>
  <c r="AV87" i="5" s="1"/>
  <c r="AV88" i="5" s="1"/>
  <c r="AU85" i="5"/>
  <c r="AU86" i="5" s="1"/>
  <c r="AU87" i="5" s="1"/>
  <c r="AU88" i="5" s="1"/>
  <c r="AT85" i="5"/>
  <c r="AT86" i="5" s="1"/>
  <c r="AT87" i="5" s="1"/>
  <c r="AT88" i="5" s="1"/>
  <c r="AS85" i="5"/>
  <c r="AS86" i="5"/>
  <c r="AS87" i="5" s="1"/>
  <c r="AS88" i="5" s="1"/>
  <c r="AR85" i="5"/>
  <c r="AR86" i="5"/>
  <c r="AR87" i="5" s="1"/>
  <c r="AR88" i="5" s="1"/>
  <c r="AQ85" i="5"/>
  <c r="AQ86" i="5"/>
  <c r="AQ87" i="5" s="1"/>
  <c r="AQ88" i="5" s="1"/>
  <c r="AP85" i="5"/>
  <c r="AP86" i="5"/>
  <c r="AP87" i="5" s="1"/>
  <c r="AP88" i="5" s="1"/>
  <c r="AO85" i="5"/>
  <c r="AO86" i="5" s="1"/>
  <c r="AO87" i="5" s="1"/>
  <c r="AO88" i="5" s="1"/>
  <c r="AN85" i="5"/>
  <c r="AN86" i="5"/>
  <c r="AN87" i="5" s="1"/>
  <c r="AN88" i="5" s="1"/>
  <c r="AM85" i="5"/>
  <c r="AM86" i="5"/>
  <c r="AM87" i="5" s="1"/>
  <c r="AM88" i="5" s="1"/>
  <c r="AL85" i="5"/>
  <c r="AL86" i="5" s="1"/>
  <c r="AL87" i="5" s="1"/>
  <c r="AL88" i="5" s="1"/>
  <c r="BC80" i="5"/>
  <c r="BC81" i="5" s="1"/>
  <c r="BC82" i="5" s="1"/>
  <c r="BC83" i="5" s="1"/>
  <c r="BB80" i="5"/>
  <c r="BB81" i="5" s="1"/>
  <c r="BB82" i="5" s="1"/>
  <c r="BB83" i="5" s="1"/>
  <c r="BA80" i="5"/>
  <c r="BA81" i="5" s="1"/>
  <c r="BA82" i="5" s="1"/>
  <c r="BA83" i="5" s="1"/>
  <c r="AZ80" i="5"/>
  <c r="AZ81" i="5" s="1"/>
  <c r="AZ82" i="5" s="1"/>
  <c r="AZ83" i="5" s="1"/>
  <c r="AY80" i="5"/>
  <c r="AY81" i="5" s="1"/>
  <c r="AY82" i="5" s="1"/>
  <c r="AY83" i="5" s="1"/>
  <c r="AX80" i="5"/>
  <c r="AX81" i="5" s="1"/>
  <c r="AX82" i="5" s="1"/>
  <c r="AX83" i="5" s="1"/>
  <c r="AW80" i="5"/>
  <c r="AW81" i="5" s="1"/>
  <c r="AW82" i="5" s="1"/>
  <c r="AW83" i="5" s="1"/>
  <c r="AV80" i="5"/>
  <c r="AV81" i="5" s="1"/>
  <c r="AV82" i="5" s="1"/>
  <c r="AV83" i="5" s="1"/>
  <c r="AU80" i="5"/>
  <c r="AU81" i="5" s="1"/>
  <c r="AU82" i="5" s="1"/>
  <c r="AU83" i="5" s="1"/>
  <c r="AT80" i="5"/>
  <c r="AT81" i="5"/>
  <c r="AT82" i="5" s="1"/>
  <c r="AT83" i="5" s="1"/>
  <c r="AS80" i="5"/>
  <c r="AS81" i="5"/>
  <c r="AS82" i="5" s="1"/>
  <c r="AS83" i="5" s="1"/>
  <c r="AR80" i="5"/>
  <c r="AR81" i="5" s="1"/>
  <c r="AR82" i="5" s="1"/>
  <c r="AR83" i="5" s="1"/>
  <c r="AQ80" i="5"/>
  <c r="AQ81" i="5"/>
  <c r="AQ82" i="5" s="1"/>
  <c r="AQ83" i="5" s="1"/>
  <c r="AP80" i="5"/>
  <c r="AP81" i="5"/>
  <c r="AP82" i="5" s="1"/>
  <c r="AP83" i="5" s="1"/>
  <c r="AO80" i="5"/>
  <c r="AO81" i="5"/>
  <c r="AO82" i="5" s="1"/>
  <c r="AO83" i="5" s="1"/>
  <c r="AN80" i="5"/>
  <c r="AN81" i="5" s="1"/>
  <c r="AN82" i="5" s="1"/>
  <c r="AN83" i="5" s="1"/>
  <c r="AM80" i="5"/>
  <c r="AM81" i="5" s="1"/>
  <c r="AM82" i="5" s="1"/>
  <c r="AM83" i="5" s="1"/>
  <c r="AL80" i="5"/>
  <c r="AL81" i="5" s="1"/>
  <c r="AL82" i="5" s="1"/>
  <c r="AL83" i="5" s="1"/>
  <c r="AK80" i="5"/>
  <c r="AK81" i="5" s="1"/>
  <c r="AK82" i="5" s="1"/>
  <c r="AK83" i="5" s="1"/>
  <c r="AJ80" i="5"/>
  <c r="AJ81" i="5" s="1"/>
  <c r="AJ82" i="5" s="1"/>
  <c r="AJ83" i="5" s="1"/>
  <c r="BC75" i="5"/>
  <c r="BC76" i="5" s="1"/>
  <c r="BC77" i="5" s="1"/>
  <c r="BC78" i="5" s="1"/>
  <c r="BB75" i="5"/>
  <c r="BB76" i="5" s="1"/>
  <c r="BB77" i="5" s="1"/>
  <c r="BB78" i="5" s="1"/>
  <c r="BA75" i="5"/>
  <c r="BA76" i="5" s="1"/>
  <c r="BA77" i="5" s="1"/>
  <c r="BA78" i="5" s="1"/>
  <c r="AZ75" i="5"/>
  <c r="AZ76" i="5" s="1"/>
  <c r="AZ77" i="5" s="1"/>
  <c r="AZ78" i="5" s="1"/>
  <c r="AY75" i="5"/>
  <c r="AY76" i="5"/>
  <c r="AY77" i="5" s="1"/>
  <c r="AY78" i="5" s="1"/>
  <c r="AX75" i="5"/>
  <c r="AX76" i="5"/>
  <c r="AX77" i="5" s="1"/>
  <c r="AX78" i="5" s="1"/>
  <c r="AW75" i="5"/>
  <c r="AW76" i="5" s="1"/>
  <c r="AW77" i="5" s="1"/>
  <c r="AW78" i="5" s="1"/>
  <c r="AV75" i="5"/>
  <c r="AV76" i="5"/>
  <c r="AV77" i="5" s="1"/>
  <c r="AV78" i="5" s="1"/>
  <c r="AU75" i="5"/>
  <c r="AU76" i="5"/>
  <c r="AU77" i="5" s="1"/>
  <c r="AU78" i="5" s="1"/>
  <c r="AT75" i="5"/>
  <c r="AT76" i="5"/>
  <c r="AT77" i="5" s="1"/>
  <c r="AT78" i="5" s="1"/>
  <c r="AS75" i="5"/>
  <c r="AS76" i="5" s="1"/>
  <c r="AS77" i="5" s="1"/>
  <c r="AS78" i="5" s="1"/>
  <c r="AR75" i="5"/>
  <c r="AR76" i="5" s="1"/>
  <c r="AR77" i="5" s="1"/>
  <c r="AR78" i="5" s="1"/>
  <c r="AQ75" i="5"/>
  <c r="AQ76" i="5" s="1"/>
  <c r="AQ77" i="5" s="1"/>
  <c r="AQ78" i="5" s="1"/>
  <c r="AP75" i="5"/>
  <c r="AP76" i="5" s="1"/>
  <c r="AP77" i="5" s="1"/>
  <c r="AP78" i="5" s="1"/>
  <c r="AO75" i="5"/>
  <c r="AO76" i="5" s="1"/>
  <c r="AO77" i="5" s="1"/>
  <c r="AO78" i="5" s="1"/>
  <c r="AN75" i="5"/>
  <c r="AN76" i="5" s="1"/>
  <c r="AN77" i="5" s="1"/>
  <c r="AN78" i="5" s="1"/>
  <c r="AM75" i="5"/>
  <c r="AM76" i="5" s="1"/>
  <c r="AM77" i="5" s="1"/>
  <c r="AM78" i="5" s="1"/>
  <c r="AL75" i="5"/>
  <c r="AL76" i="5" s="1"/>
  <c r="AL77" i="5" s="1"/>
  <c r="AL78" i="5" s="1"/>
  <c r="AK75" i="5"/>
  <c r="AK76" i="5" s="1"/>
  <c r="AK77" i="5" s="1"/>
  <c r="AK78" i="5" s="1"/>
  <c r="AJ75" i="5"/>
  <c r="AJ76" i="5" s="1"/>
  <c r="AJ77" i="5" s="1"/>
  <c r="AJ78" i="5" s="1"/>
  <c r="AI75" i="5"/>
  <c r="AI76" i="5"/>
  <c r="AI77" i="5" s="1"/>
  <c r="AI78" i="5" s="1"/>
  <c r="AH75" i="5"/>
  <c r="AH76" i="5" s="1"/>
  <c r="AH77" i="5" s="1"/>
  <c r="AH78" i="5" s="1"/>
  <c r="BC70" i="5"/>
  <c r="BC71" i="5"/>
  <c r="BC72" i="5" s="1"/>
  <c r="BC73" i="5" s="1"/>
  <c r="BB70" i="5"/>
  <c r="BB71" i="5"/>
  <c r="BB72" i="5" s="1"/>
  <c r="BB73" i="5" s="1"/>
  <c r="BA70" i="5"/>
  <c r="BA71" i="5"/>
  <c r="BA72" i="5" s="1"/>
  <c r="BA73" i="5" s="1"/>
  <c r="AZ70" i="5"/>
  <c r="AZ71" i="5" s="1"/>
  <c r="AZ72" i="5" s="1"/>
  <c r="AZ73" i="5" s="1"/>
  <c r="AY70" i="5"/>
  <c r="AY71" i="5"/>
  <c r="AY72" i="5" s="1"/>
  <c r="AY73" i="5" s="1"/>
  <c r="AX70" i="5"/>
  <c r="AX71" i="5" s="1"/>
  <c r="AX72" i="5" s="1"/>
  <c r="AX73" i="5" s="1"/>
  <c r="AW70" i="5"/>
  <c r="AW71" i="5" s="1"/>
  <c r="AW72" i="5" s="1"/>
  <c r="AW73" i="5" s="1"/>
  <c r="AV70" i="5"/>
  <c r="AV71" i="5" s="1"/>
  <c r="AV72" i="5" s="1"/>
  <c r="AV73" i="5" s="1"/>
  <c r="AU70" i="5"/>
  <c r="AU71" i="5" s="1"/>
  <c r="AU72" i="5" s="1"/>
  <c r="AU73" i="5" s="1"/>
  <c r="AT70" i="5"/>
  <c r="AT71" i="5" s="1"/>
  <c r="AT72" i="5" s="1"/>
  <c r="AT73" i="5" s="1"/>
  <c r="AS70" i="5"/>
  <c r="AS71" i="5" s="1"/>
  <c r="AS72" i="5" s="1"/>
  <c r="AS73" i="5" s="1"/>
  <c r="AR70" i="5"/>
  <c r="AR71" i="5" s="1"/>
  <c r="AR72" i="5" s="1"/>
  <c r="AR73" i="5" s="1"/>
  <c r="AQ70" i="5"/>
  <c r="AQ71" i="5" s="1"/>
  <c r="AQ72" i="5" s="1"/>
  <c r="AQ73" i="5" s="1"/>
  <c r="AP70" i="5"/>
  <c r="AP71" i="5" s="1"/>
  <c r="AP72" i="5" s="1"/>
  <c r="AP73" i="5" s="1"/>
  <c r="AO70" i="5"/>
  <c r="AO71" i="5"/>
  <c r="AO72" i="5" s="1"/>
  <c r="AO73" i="5" s="1"/>
  <c r="AN70" i="5"/>
  <c r="AN71" i="5"/>
  <c r="AN72" i="5" s="1"/>
  <c r="AN73" i="5" s="1"/>
  <c r="AM70" i="5"/>
  <c r="AM71" i="5"/>
  <c r="AM72" i="5" s="1"/>
  <c r="AM73" i="5" s="1"/>
  <c r="AL70" i="5"/>
  <c r="AL71" i="5"/>
  <c r="AL72" i="5" s="1"/>
  <c r="AL73" i="5" s="1"/>
  <c r="AK70" i="5"/>
  <c r="AK71" i="5" s="1"/>
  <c r="AK72" i="5" s="1"/>
  <c r="AK73" i="5" s="1"/>
  <c r="AJ70" i="5"/>
  <c r="AJ71" i="5"/>
  <c r="AJ72" i="5" s="1"/>
  <c r="AJ73" i="5" s="1"/>
  <c r="AI70" i="5"/>
  <c r="AI71" i="5" s="1"/>
  <c r="AI72" i="5" s="1"/>
  <c r="AI73" i="5" s="1"/>
  <c r="AH70" i="5"/>
  <c r="AH71" i="5" s="1"/>
  <c r="AH72" i="5" s="1"/>
  <c r="AH73" i="5" s="1"/>
  <c r="AG70" i="5"/>
  <c r="AG71" i="5" s="1"/>
  <c r="AG72" i="5" s="1"/>
  <c r="AG73" i="5" s="1"/>
  <c r="AF70" i="5"/>
  <c r="AF71" i="5" s="1"/>
  <c r="AF72" i="5" s="1"/>
  <c r="AF73" i="5" s="1"/>
  <c r="S26" i="6"/>
  <c r="S25" i="6"/>
  <c r="S24" i="6"/>
  <c r="S23" i="6"/>
  <c r="S22" i="6"/>
  <c r="S21" i="6"/>
  <c r="S20" i="6"/>
  <c r="S19" i="6"/>
  <c r="S18" i="6"/>
  <c r="S17" i="6"/>
  <c r="S16" i="6"/>
  <c r="S15" i="6"/>
  <c r="S14" i="6"/>
  <c r="S13" i="6"/>
  <c r="S12" i="6"/>
  <c r="S11" i="6"/>
  <c r="S10" i="6"/>
  <c r="S9" i="6"/>
  <c r="S8" i="6"/>
  <c r="S7" i="6"/>
  <c r="F202" i="9"/>
  <c r="P1" i="14"/>
  <c r="P41" i="3"/>
  <c r="T17" i="6" s="1"/>
  <c r="P7" i="3"/>
  <c r="P8" i="3" s="1"/>
  <c r="L148" i="9"/>
  <c r="K148" i="9"/>
  <c r="J148" i="9"/>
  <c r="I148" i="9"/>
  <c r="H148" i="9"/>
  <c r="G148" i="9"/>
  <c r="F148" i="9"/>
  <c r="E148" i="9"/>
  <c r="L146" i="9"/>
  <c r="K146" i="9"/>
  <c r="J146" i="9"/>
  <c r="I146" i="9"/>
  <c r="H146" i="9"/>
  <c r="G146" i="9"/>
  <c r="F146" i="9"/>
  <c r="E146" i="9"/>
  <c r="D146" i="9"/>
  <c r="L145" i="9"/>
  <c r="K145" i="9"/>
  <c r="J145" i="9"/>
  <c r="I145" i="9"/>
  <c r="H145" i="9"/>
  <c r="G145" i="9"/>
  <c r="F145" i="9"/>
  <c r="E145" i="9"/>
  <c r="D145" i="9"/>
  <c r="L144" i="9"/>
  <c r="K144" i="9"/>
  <c r="J144" i="9"/>
  <c r="I144" i="9"/>
  <c r="H144" i="9"/>
  <c r="G144" i="9"/>
  <c r="F144" i="9"/>
  <c r="E144" i="9"/>
  <c r="D144" i="9"/>
  <c r="R100" i="10"/>
  <c r="G100" i="10" s="1"/>
  <c r="L86" i="9"/>
  <c r="K86" i="9"/>
  <c r="J86" i="9"/>
  <c r="I86" i="9"/>
  <c r="H86" i="9"/>
  <c r="G86" i="9"/>
  <c r="F86" i="9"/>
  <c r="E86" i="9"/>
  <c r="F84" i="12"/>
  <c r="L85" i="9"/>
  <c r="K85" i="9"/>
  <c r="J85" i="9"/>
  <c r="I85" i="9"/>
  <c r="H85" i="9"/>
  <c r="G85" i="9"/>
  <c r="F85" i="9"/>
  <c r="E85" i="9"/>
  <c r="F83" i="12"/>
  <c r="L84" i="9"/>
  <c r="K84" i="9"/>
  <c r="J84" i="9"/>
  <c r="I84" i="9"/>
  <c r="H84" i="9"/>
  <c r="G84" i="9"/>
  <c r="F84" i="9"/>
  <c r="E84" i="9"/>
  <c r="F82" i="12"/>
  <c r="G83" i="12"/>
  <c r="G82" i="12"/>
  <c r="A85" i="9"/>
  <c r="L92" i="9"/>
  <c r="K92" i="9"/>
  <c r="J92" i="9"/>
  <c r="I92" i="9"/>
  <c r="H92" i="9"/>
  <c r="G92" i="9"/>
  <c r="F92" i="9"/>
  <c r="E92" i="9"/>
  <c r="D92" i="9"/>
  <c r="A92" i="9"/>
  <c r="L91" i="9"/>
  <c r="K91" i="9"/>
  <c r="J91" i="9"/>
  <c r="I91" i="9"/>
  <c r="H91" i="9"/>
  <c r="G91" i="9"/>
  <c r="F91" i="9"/>
  <c r="E91" i="9"/>
  <c r="D91" i="9"/>
  <c r="C91" i="9"/>
  <c r="A91" i="9"/>
  <c r="L90" i="9"/>
  <c r="K90" i="9"/>
  <c r="J90" i="9"/>
  <c r="I90" i="9"/>
  <c r="H90" i="9"/>
  <c r="G90" i="9"/>
  <c r="F90" i="9"/>
  <c r="E90" i="9"/>
  <c r="D90" i="9"/>
  <c r="C90" i="9"/>
  <c r="A90" i="9"/>
  <c r="L89" i="9"/>
  <c r="K89" i="9"/>
  <c r="J89" i="9"/>
  <c r="I89" i="9"/>
  <c r="H89" i="9"/>
  <c r="G89" i="9"/>
  <c r="F89" i="9"/>
  <c r="E89" i="9"/>
  <c r="D89" i="9"/>
  <c r="C89" i="9"/>
  <c r="A89" i="9"/>
  <c r="L88" i="9"/>
  <c r="K88" i="9"/>
  <c r="J88" i="9"/>
  <c r="I88" i="9"/>
  <c r="H88" i="9"/>
  <c r="G88" i="9"/>
  <c r="F88" i="9"/>
  <c r="E88" i="9"/>
  <c r="D88" i="9"/>
  <c r="C88" i="9"/>
  <c r="A88" i="9"/>
  <c r="L87" i="9"/>
  <c r="K87" i="9"/>
  <c r="J87" i="9"/>
  <c r="I87" i="9"/>
  <c r="H87" i="9"/>
  <c r="G87" i="9"/>
  <c r="F87" i="9"/>
  <c r="E87" i="9"/>
  <c r="C87" i="9"/>
  <c r="A87" i="9"/>
  <c r="A86" i="9"/>
  <c r="A84" i="9"/>
  <c r="L83" i="9"/>
  <c r="K83" i="9"/>
  <c r="J83" i="9"/>
  <c r="I83" i="9"/>
  <c r="H83" i="9"/>
  <c r="G83" i="9"/>
  <c r="F83" i="9"/>
  <c r="E83" i="9"/>
  <c r="D83" i="9"/>
  <c r="C83" i="9"/>
  <c r="A83" i="9"/>
  <c r="L82" i="9"/>
  <c r="K82" i="9"/>
  <c r="J82" i="9"/>
  <c r="I82" i="9"/>
  <c r="H82" i="9"/>
  <c r="G82" i="9"/>
  <c r="F82" i="9"/>
  <c r="E82" i="9"/>
  <c r="D82" i="9"/>
  <c r="C82" i="9"/>
  <c r="A82" i="9"/>
  <c r="L81" i="9"/>
  <c r="K81" i="9"/>
  <c r="J81" i="9"/>
  <c r="I81" i="9"/>
  <c r="H81" i="9"/>
  <c r="G81" i="9"/>
  <c r="F81" i="9"/>
  <c r="E81" i="9"/>
  <c r="D81" i="9"/>
  <c r="C81" i="9"/>
  <c r="A81" i="9"/>
  <c r="L80" i="9"/>
  <c r="K80" i="9"/>
  <c r="J80" i="9"/>
  <c r="I80" i="9"/>
  <c r="H80" i="9"/>
  <c r="G80" i="9"/>
  <c r="F80" i="9"/>
  <c r="E80" i="9"/>
  <c r="D80" i="9"/>
  <c r="C80" i="9"/>
  <c r="A80" i="9"/>
  <c r="L79" i="9"/>
  <c r="K79" i="9"/>
  <c r="J79" i="9"/>
  <c r="I79" i="9"/>
  <c r="H79" i="9"/>
  <c r="G79" i="9"/>
  <c r="F79" i="9"/>
  <c r="E79" i="9"/>
  <c r="D79" i="9"/>
  <c r="C79" i="9"/>
  <c r="A79" i="9"/>
  <c r="L78" i="9"/>
  <c r="K78" i="9"/>
  <c r="J78" i="9"/>
  <c r="I78" i="9"/>
  <c r="H78" i="9"/>
  <c r="G78" i="9"/>
  <c r="F78" i="9"/>
  <c r="E78" i="9"/>
  <c r="D78" i="9"/>
  <c r="C78" i="9"/>
  <c r="A78" i="9"/>
  <c r="L77" i="9"/>
  <c r="K77" i="9"/>
  <c r="J77" i="9"/>
  <c r="I77" i="9"/>
  <c r="H77" i="9"/>
  <c r="G77" i="9"/>
  <c r="F77" i="9"/>
  <c r="E77" i="9"/>
  <c r="D77" i="9"/>
  <c r="C77" i="9"/>
  <c r="A77" i="9"/>
  <c r="L76" i="9"/>
  <c r="K76" i="9"/>
  <c r="J76" i="9"/>
  <c r="I76" i="9"/>
  <c r="H76" i="9"/>
  <c r="G76" i="9"/>
  <c r="F76" i="9"/>
  <c r="E76" i="9"/>
  <c r="D76" i="9"/>
  <c r="C76" i="9"/>
  <c r="A76" i="9"/>
  <c r="L75" i="9"/>
  <c r="K75" i="9"/>
  <c r="J75" i="9"/>
  <c r="I75" i="9"/>
  <c r="H75" i="9"/>
  <c r="G75" i="9"/>
  <c r="F75" i="9"/>
  <c r="E75" i="9"/>
  <c r="D75" i="9"/>
  <c r="C75" i="9"/>
  <c r="A75" i="9"/>
  <c r="L74" i="9"/>
  <c r="K74" i="9"/>
  <c r="J74" i="9"/>
  <c r="I74" i="9"/>
  <c r="H74" i="9"/>
  <c r="G74" i="9"/>
  <c r="F74" i="9"/>
  <c r="E74" i="9"/>
  <c r="D74" i="9"/>
  <c r="C74" i="9"/>
  <c r="A74" i="9"/>
  <c r="L73" i="9"/>
  <c r="K73" i="9"/>
  <c r="J73" i="9"/>
  <c r="I73" i="9"/>
  <c r="H73" i="9"/>
  <c r="G73" i="9"/>
  <c r="F73" i="9"/>
  <c r="E73" i="9"/>
  <c r="D73" i="9"/>
  <c r="C73" i="9"/>
  <c r="A73" i="9"/>
  <c r="D72" i="9"/>
  <c r="C72" i="9"/>
  <c r="A72" i="9"/>
  <c r="P84" i="3"/>
  <c r="A2" i="11"/>
  <c r="S9" i="11" s="1"/>
  <c r="O17" i="10"/>
  <c r="T1" i="6"/>
  <c r="D13" i="1"/>
  <c r="C16" i="2"/>
  <c r="H1" i="14"/>
  <c r="N1" i="6"/>
  <c r="O7" i="12"/>
  <c r="AH20" i="6"/>
  <c r="AB20" i="6" s="1"/>
  <c r="AC20" i="6" s="1"/>
  <c r="AH19" i="6"/>
  <c r="AB19" i="6" s="1"/>
  <c r="AC19" i="6" s="1"/>
  <c r="AH18" i="6"/>
  <c r="AB18" i="6" s="1"/>
  <c r="AC18" i="6" s="1"/>
  <c r="AH17" i="6"/>
  <c r="AB17" i="6" s="1"/>
  <c r="AC17" i="6" s="1"/>
  <c r="AH16" i="6"/>
  <c r="AB16" i="6" s="1"/>
  <c r="AC16" i="6" s="1"/>
  <c r="AH15" i="6"/>
  <c r="AB15" i="6" s="1"/>
  <c r="AC15" i="6" s="1"/>
  <c r="AH14" i="6"/>
  <c r="AB14" i="6" s="1"/>
  <c r="AC14" i="6" s="1"/>
  <c r="AH13" i="6"/>
  <c r="AB13" i="6" s="1"/>
  <c r="AC13" i="6" s="1"/>
  <c r="AH12" i="6"/>
  <c r="AB12" i="6" s="1"/>
  <c r="AC12" i="6" s="1"/>
  <c r="AH11" i="6"/>
  <c r="AB11" i="6" s="1"/>
  <c r="AC11" i="6" s="1"/>
  <c r="AH10" i="6"/>
  <c r="AB10" i="6" s="1"/>
  <c r="AC10" i="6" s="1"/>
  <c r="AH9" i="6"/>
  <c r="AB9" i="6" s="1"/>
  <c r="AC9" i="6" s="1"/>
  <c r="S4" i="6" s="1"/>
  <c r="V8" i="14" s="1"/>
  <c r="AH8" i="6"/>
  <c r="AB8" i="6" s="1"/>
  <c r="AC8" i="6" s="1"/>
  <c r="AH7" i="6"/>
  <c r="AB7" i="6" s="1"/>
  <c r="AC7" i="6" s="1"/>
  <c r="AD3" i="2"/>
  <c r="M182" i="12"/>
  <c r="H65" i="8"/>
  <c r="I490" i="8"/>
  <c r="G477" i="8"/>
  <c r="C457" i="8"/>
  <c r="K457" i="8" s="1"/>
  <c r="G210" i="8"/>
  <c r="G218" i="8"/>
  <c r="M278" i="8"/>
  <c r="M279" i="8"/>
  <c r="J279" i="8"/>
  <c r="J278" i="8"/>
  <c r="F416" i="8"/>
  <c r="E416" i="8"/>
  <c r="I332" i="8"/>
  <c r="K182" i="12"/>
  <c r="H555" i="8"/>
  <c r="F540" i="8"/>
  <c r="E540" i="8"/>
  <c r="F272" i="8"/>
  <c r="E272" i="8"/>
  <c r="F271" i="8"/>
  <c r="E271" i="8"/>
  <c r="F230" i="8"/>
  <c r="E230" i="8"/>
  <c r="H413" i="8"/>
  <c r="F398" i="8"/>
  <c r="E398" i="8"/>
  <c r="F380" i="8"/>
  <c r="E380" i="8"/>
  <c r="F379" i="8"/>
  <c r="E379" i="8"/>
  <c r="H78" i="8"/>
  <c r="L44" i="14" s="1"/>
  <c r="H72" i="8"/>
  <c r="L38" i="14" s="1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A13" i="6"/>
  <c r="A12" i="6"/>
  <c r="A11" i="6"/>
  <c r="A10" i="6"/>
  <c r="A9" i="6"/>
  <c r="Z20" i="6"/>
  <c r="B27" i="12" s="1"/>
  <c r="Z19" i="6"/>
  <c r="Z18" i="6"/>
  <c r="A27" i="9" s="1"/>
  <c r="Z17" i="6"/>
  <c r="Z16" i="6"/>
  <c r="Z15" i="6"/>
  <c r="B22" i="12" s="1"/>
  <c r="Z14" i="6"/>
  <c r="Z13" i="6"/>
  <c r="A22" i="9" s="1"/>
  <c r="A10" i="18" s="1"/>
  <c r="Z12" i="6"/>
  <c r="B19" i="12" s="1"/>
  <c r="Z11" i="6"/>
  <c r="B13" i="14" s="1"/>
  <c r="Z10" i="6"/>
  <c r="Z9" i="6"/>
  <c r="B11" i="14" s="1"/>
  <c r="Z8" i="6"/>
  <c r="B10" i="14" s="1"/>
  <c r="Z26" i="6"/>
  <c r="Z25" i="6"/>
  <c r="Z24" i="6"/>
  <c r="Z23" i="6"/>
  <c r="Z22" i="6"/>
  <c r="Z21" i="6"/>
  <c r="Z7" i="6"/>
  <c r="B9" i="14" s="1"/>
  <c r="J69" i="3"/>
  <c r="J88" i="3"/>
  <c r="J81" i="3"/>
  <c r="K81" i="3"/>
  <c r="K80" i="3"/>
  <c r="K54" i="3"/>
  <c r="K12" i="3"/>
  <c r="L72" i="9"/>
  <c r="K72" i="9"/>
  <c r="J72" i="9"/>
  <c r="I72" i="9"/>
  <c r="H72" i="9"/>
  <c r="G72" i="9"/>
  <c r="F72" i="9"/>
  <c r="E72" i="9"/>
  <c r="M20" i="6"/>
  <c r="G20" i="6" s="1"/>
  <c r="F20" i="6"/>
  <c r="W20" i="6"/>
  <c r="M19" i="6"/>
  <c r="J19" i="6" s="1"/>
  <c r="M26" i="12" s="1"/>
  <c r="F19" i="6"/>
  <c r="F28" i="9" s="1"/>
  <c r="W19" i="6"/>
  <c r="O15" i="10"/>
  <c r="O14" i="10"/>
  <c r="O13" i="10"/>
  <c r="O12" i="10"/>
  <c r="O11" i="10"/>
  <c r="O10" i="10"/>
  <c r="W26" i="6"/>
  <c r="W25" i="6"/>
  <c r="W24" i="6"/>
  <c r="W23" i="6"/>
  <c r="W22" i="6"/>
  <c r="W21" i="6"/>
  <c r="J85" i="3"/>
  <c r="W18" i="6"/>
  <c r="W17" i="6"/>
  <c r="W16" i="6"/>
  <c r="W15" i="6"/>
  <c r="W14" i="6"/>
  <c r="W13" i="6"/>
  <c r="W12" i="6"/>
  <c r="W11" i="6"/>
  <c r="W10" i="6"/>
  <c r="W9" i="6"/>
  <c r="W8" i="6"/>
  <c r="P3" i="10"/>
  <c r="F3" i="10" s="1"/>
  <c r="R4" i="14"/>
  <c r="O16" i="10"/>
  <c r="R110" i="10"/>
  <c r="R109" i="10"/>
  <c r="R108" i="10"/>
  <c r="P108" i="10" s="1"/>
  <c r="G1" i="11"/>
  <c r="H1" i="11"/>
  <c r="I1" i="11"/>
  <c r="K1" i="11"/>
  <c r="L1" i="11"/>
  <c r="M1" i="11"/>
  <c r="O1" i="11"/>
  <c r="P1" i="11"/>
  <c r="Q1" i="11"/>
  <c r="S1" i="11"/>
  <c r="T1" i="11"/>
  <c r="U1" i="11"/>
  <c r="D2" i="11"/>
  <c r="G2" i="11"/>
  <c r="K2" i="11"/>
  <c r="L2" i="11"/>
  <c r="O2" i="11"/>
  <c r="P2" i="11"/>
  <c r="S2" i="11"/>
  <c r="D3" i="11"/>
  <c r="U10" i="11" s="1"/>
  <c r="G3" i="11"/>
  <c r="H3" i="11"/>
  <c r="K3" i="11"/>
  <c r="L3" i="11"/>
  <c r="O3" i="11"/>
  <c r="P3" i="11"/>
  <c r="S3" i="11"/>
  <c r="T3" i="11"/>
  <c r="D4" i="11"/>
  <c r="U11" i="11" s="1"/>
  <c r="G4" i="11"/>
  <c r="H4" i="11"/>
  <c r="K4" i="11"/>
  <c r="L4" i="11"/>
  <c r="O4" i="11"/>
  <c r="P4" i="11"/>
  <c r="S4" i="11"/>
  <c r="T4" i="11"/>
  <c r="D5" i="11"/>
  <c r="U12" i="11" s="1"/>
  <c r="G5" i="11"/>
  <c r="H5" i="11"/>
  <c r="K5" i="11"/>
  <c r="L5" i="11"/>
  <c r="O5" i="11"/>
  <c r="P5" i="11"/>
  <c r="S5" i="11"/>
  <c r="T5" i="11"/>
  <c r="D6" i="11"/>
  <c r="U13" i="11" s="1"/>
  <c r="G6" i="11"/>
  <c r="H6" i="11"/>
  <c r="K6" i="11"/>
  <c r="L6" i="11"/>
  <c r="O6" i="11"/>
  <c r="P6" i="11"/>
  <c r="S6" i="11"/>
  <c r="T6" i="11"/>
  <c r="D7" i="11"/>
  <c r="U14" i="11" s="1"/>
  <c r="G7" i="11"/>
  <c r="H7" i="11"/>
  <c r="K7" i="11"/>
  <c r="L7" i="11"/>
  <c r="O7" i="11"/>
  <c r="P7" i="11"/>
  <c r="D8" i="11"/>
  <c r="U15" i="11" s="1"/>
  <c r="G8" i="11"/>
  <c r="H8" i="11"/>
  <c r="K8" i="11"/>
  <c r="L8" i="11"/>
  <c r="O8" i="11"/>
  <c r="P8" i="11"/>
  <c r="D9" i="11"/>
  <c r="U16" i="11"/>
  <c r="G9" i="11"/>
  <c r="H9" i="11"/>
  <c r="K9" i="11"/>
  <c r="L9" i="11"/>
  <c r="O9" i="11"/>
  <c r="P9" i="11"/>
  <c r="T9" i="11"/>
  <c r="D10" i="11"/>
  <c r="U17" i="11" s="1"/>
  <c r="G10" i="11"/>
  <c r="H10" i="11"/>
  <c r="K10" i="11"/>
  <c r="L10" i="11"/>
  <c r="O10" i="11"/>
  <c r="P10" i="11"/>
  <c r="S10" i="11"/>
  <c r="T10" i="11"/>
  <c r="D11" i="11"/>
  <c r="U18" i="11" s="1"/>
  <c r="G11" i="11"/>
  <c r="H11" i="11"/>
  <c r="K11" i="11"/>
  <c r="L11" i="11"/>
  <c r="O11" i="11"/>
  <c r="P11" i="11"/>
  <c r="S11" i="11"/>
  <c r="T11" i="11"/>
  <c r="D12" i="11"/>
  <c r="U19" i="11" s="1"/>
  <c r="G12" i="11"/>
  <c r="H12" i="11"/>
  <c r="K12" i="11"/>
  <c r="L12" i="11"/>
  <c r="O12" i="11"/>
  <c r="P12" i="11"/>
  <c r="S12" i="11"/>
  <c r="T12" i="11"/>
  <c r="D13" i="11"/>
  <c r="U20" i="11" s="1"/>
  <c r="G13" i="11"/>
  <c r="H13" i="11"/>
  <c r="K13" i="11"/>
  <c r="L13" i="11"/>
  <c r="O13" i="11"/>
  <c r="P13" i="11"/>
  <c r="S13" i="11"/>
  <c r="T13" i="11"/>
  <c r="D14" i="11"/>
  <c r="U21" i="11" s="1"/>
  <c r="G14" i="11"/>
  <c r="H14" i="11"/>
  <c r="K14" i="11"/>
  <c r="O14" i="11"/>
  <c r="P14" i="11"/>
  <c r="S14" i="11"/>
  <c r="T14" i="11"/>
  <c r="D15" i="11"/>
  <c r="U22" i="11" s="1"/>
  <c r="G15" i="11"/>
  <c r="H15" i="11"/>
  <c r="K15" i="11"/>
  <c r="L15" i="11"/>
  <c r="O15" i="11"/>
  <c r="P15" i="11"/>
  <c r="S15" i="11"/>
  <c r="T15" i="11"/>
  <c r="D16" i="11"/>
  <c r="U23" i="11" s="1"/>
  <c r="G16" i="11"/>
  <c r="H16" i="11"/>
  <c r="K16" i="11"/>
  <c r="L16" i="11"/>
  <c r="O16" i="11"/>
  <c r="P16" i="11"/>
  <c r="S16" i="11"/>
  <c r="T16" i="11"/>
  <c r="D17" i="11"/>
  <c r="U24" i="11" s="1"/>
  <c r="G17" i="11"/>
  <c r="K17" i="11"/>
  <c r="L17" i="11"/>
  <c r="O17" i="11"/>
  <c r="S17" i="11"/>
  <c r="T17" i="11"/>
  <c r="D18" i="11"/>
  <c r="U25" i="11" s="1"/>
  <c r="G18" i="11"/>
  <c r="H18" i="11"/>
  <c r="K18" i="11"/>
  <c r="L18" i="11"/>
  <c r="O18" i="11"/>
  <c r="P18" i="11"/>
  <c r="S18" i="11"/>
  <c r="T18" i="11"/>
  <c r="D19" i="11"/>
  <c r="U26" i="11" s="1"/>
  <c r="G19" i="11"/>
  <c r="H19" i="11"/>
  <c r="K19" i="11"/>
  <c r="L19" i="11"/>
  <c r="O19" i="11"/>
  <c r="P19" i="11"/>
  <c r="S19" i="11"/>
  <c r="T19" i="11"/>
  <c r="D20" i="11"/>
  <c r="U27" i="11" s="1"/>
  <c r="G20" i="11"/>
  <c r="H20" i="11"/>
  <c r="K20" i="11"/>
  <c r="L20" i="11"/>
  <c r="O20" i="11"/>
  <c r="P20" i="11"/>
  <c r="S20" i="11"/>
  <c r="T20" i="11"/>
  <c r="D21" i="11"/>
  <c r="U28" i="11" s="1"/>
  <c r="G21" i="11"/>
  <c r="H21" i="11"/>
  <c r="K21" i="11"/>
  <c r="L21" i="11"/>
  <c r="O21" i="11"/>
  <c r="P21" i="11"/>
  <c r="S21" i="11"/>
  <c r="T21" i="11"/>
  <c r="D22" i="11"/>
  <c r="U29" i="11" s="1"/>
  <c r="G22" i="11"/>
  <c r="H22" i="11"/>
  <c r="K22" i="11"/>
  <c r="L22" i="11"/>
  <c r="O22" i="11"/>
  <c r="P22" i="11"/>
  <c r="S22" i="11"/>
  <c r="T22" i="11"/>
  <c r="D23" i="11"/>
  <c r="U30" i="11" s="1"/>
  <c r="G23" i="11"/>
  <c r="H23" i="11"/>
  <c r="K23" i="11"/>
  <c r="L23" i="11"/>
  <c r="O23" i="11"/>
  <c r="P23" i="11"/>
  <c r="S23" i="11"/>
  <c r="T23" i="11"/>
  <c r="D24" i="11"/>
  <c r="U31" i="11" s="1"/>
  <c r="G24" i="11"/>
  <c r="H24" i="11"/>
  <c r="K24" i="11"/>
  <c r="L24" i="11"/>
  <c r="O24" i="11"/>
  <c r="P24" i="11"/>
  <c r="S24" i="11"/>
  <c r="T24" i="11"/>
  <c r="D25" i="11"/>
  <c r="I3" i="11" s="1"/>
  <c r="G25" i="11"/>
  <c r="H25" i="11"/>
  <c r="K25" i="11"/>
  <c r="L25" i="11"/>
  <c r="O25" i="11"/>
  <c r="P25" i="11"/>
  <c r="S25" i="11"/>
  <c r="T25" i="11"/>
  <c r="D26" i="11"/>
  <c r="I4" i="11" s="1"/>
  <c r="G26" i="11"/>
  <c r="H26" i="11"/>
  <c r="K26" i="11"/>
  <c r="L26" i="11"/>
  <c r="O26" i="11"/>
  <c r="P26" i="11"/>
  <c r="S26" i="11"/>
  <c r="T26" i="11"/>
  <c r="D27" i="11"/>
  <c r="I5" i="11" s="1"/>
  <c r="G27" i="11"/>
  <c r="H27" i="11"/>
  <c r="K27" i="11"/>
  <c r="O27" i="11"/>
  <c r="P27" i="11"/>
  <c r="S27" i="11"/>
  <c r="T27" i="11"/>
  <c r="D28" i="11"/>
  <c r="I6" i="11" s="1"/>
  <c r="G28" i="11"/>
  <c r="H28" i="11"/>
  <c r="K28" i="11"/>
  <c r="L28" i="11"/>
  <c r="O28" i="11"/>
  <c r="P28" i="11"/>
  <c r="S28" i="11"/>
  <c r="T28" i="11"/>
  <c r="D29" i="11"/>
  <c r="I7" i="11" s="1"/>
  <c r="G29" i="11"/>
  <c r="H29" i="11"/>
  <c r="K29" i="11"/>
  <c r="L29" i="11"/>
  <c r="O29" i="11"/>
  <c r="S29" i="11"/>
  <c r="T29" i="11"/>
  <c r="D30" i="11"/>
  <c r="I8" i="11" s="1"/>
  <c r="G30" i="11"/>
  <c r="H30" i="11"/>
  <c r="K30" i="11"/>
  <c r="L30" i="11"/>
  <c r="O30" i="11"/>
  <c r="P30" i="11"/>
  <c r="S30" i="11"/>
  <c r="T30" i="11"/>
  <c r="D31" i="11"/>
  <c r="I9" i="11" s="1"/>
  <c r="G31" i="11"/>
  <c r="H31" i="11"/>
  <c r="K31" i="11"/>
  <c r="L31" i="11"/>
  <c r="O31" i="11"/>
  <c r="P31" i="11"/>
  <c r="S31" i="11"/>
  <c r="T31" i="11"/>
  <c r="D32" i="11"/>
  <c r="I10" i="11" s="1"/>
  <c r="G32" i="11"/>
  <c r="H32" i="11"/>
  <c r="K32" i="11"/>
  <c r="O32" i="11"/>
  <c r="P32" i="11"/>
  <c r="D33" i="11"/>
  <c r="I11" i="11" s="1"/>
  <c r="G33" i="11"/>
  <c r="H33" i="11"/>
  <c r="K33" i="11"/>
  <c r="L33" i="11"/>
  <c r="O33" i="11"/>
  <c r="P33" i="11"/>
  <c r="D34" i="11"/>
  <c r="I12" i="11" s="1"/>
  <c r="G34" i="11"/>
  <c r="H34" i="11"/>
  <c r="K34" i="11"/>
  <c r="L34" i="11"/>
  <c r="O34" i="11"/>
  <c r="P34" i="11"/>
  <c r="D35" i="11"/>
  <c r="I13" i="11" s="1"/>
  <c r="G35" i="11"/>
  <c r="H35" i="11"/>
  <c r="K35" i="11"/>
  <c r="L35" i="11"/>
  <c r="O35" i="11"/>
  <c r="P35" i="11"/>
  <c r="D36" i="11"/>
  <c r="I14" i="11" s="1"/>
  <c r="G36" i="11"/>
  <c r="H36" i="11"/>
  <c r="K36" i="11"/>
  <c r="L36" i="11"/>
  <c r="O36" i="11"/>
  <c r="P36" i="11"/>
  <c r="D37" i="11"/>
  <c r="I15" i="11" s="1"/>
  <c r="G37" i="11"/>
  <c r="H37" i="11"/>
  <c r="K37" i="11"/>
  <c r="L37" i="11"/>
  <c r="O37" i="11"/>
  <c r="P37" i="11"/>
  <c r="D38" i="11"/>
  <c r="I16" i="11" s="1"/>
  <c r="G38" i="11"/>
  <c r="H38" i="11"/>
  <c r="K38" i="11"/>
  <c r="O38" i="11"/>
  <c r="P38" i="11"/>
  <c r="D39" i="11"/>
  <c r="I18" i="11" s="1"/>
  <c r="G39" i="11"/>
  <c r="H39" i="11"/>
  <c r="K39" i="11"/>
  <c r="L39" i="11"/>
  <c r="O39" i="11"/>
  <c r="P39" i="11"/>
  <c r="D40" i="11"/>
  <c r="I19" i="11" s="1"/>
  <c r="G40" i="11"/>
  <c r="H40" i="11"/>
  <c r="K40" i="11"/>
  <c r="L40" i="11"/>
  <c r="O40" i="11"/>
  <c r="P40" i="11"/>
  <c r="D41" i="11"/>
  <c r="I20" i="11" s="1"/>
  <c r="G41" i="11"/>
  <c r="H41" i="11"/>
  <c r="K41" i="11"/>
  <c r="L41" i="11"/>
  <c r="O41" i="11"/>
  <c r="D42" i="11"/>
  <c r="I21" i="11" s="1"/>
  <c r="G42" i="11"/>
  <c r="H42" i="11"/>
  <c r="K42" i="11"/>
  <c r="L42" i="11"/>
  <c r="O42" i="11"/>
  <c r="P42" i="11"/>
  <c r="D43" i="11"/>
  <c r="I22" i="11" s="1"/>
  <c r="G43" i="11"/>
  <c r="H43" i="11"/>
  <c r="K43" i="11"/>
  <c r="L43" i="11"/>
  <c r="O43" i="11"/>
  <c r="P43" i="11"/>
  <c r="D44" i="11"/>
  <c r="I23" i="11" s="1"/>
  <c r="G44" i="11"/>
  <c r="H44" i="11"/>
  <c r="K44" i="11"/>
  <c r="L44" i="11"/>
  <c r="O44" i="11"/>
  <c r="P44" i="11"/>
  <c r="D45" i="11"/>
  <c r="I24" i="11" s="1"/>
  <c r="G45" i="11"/>
  <c r="H45" i="11"/>
  <c r="K45" i="11"/>
  <c r="L45" i="11"/>
  <c r="O45" i="11"/>
  <c r="P45" i="11"/>
  <c r="D46" i="11"/>
  <c r="I25" i="11" s="1"/>
  <c r="G46" i="11"/>
  <c r="H46" i="11"/>
  <c r="K46" i="11"/>
  <c r="L46" i="11"/>
  <c r="O46" i="11"/>
  <c r="P46" i="11"/>
  <c r="D47" i="11"/>
  <c r="I26" i="11" s="1"/>
  <c r="G47" i="11"/>
  <c r="H47" i="11"/>
  <c r="K47" i="11"/>
  <c r="L47" i="11"/>
  <c r="O47" i="11"/>
  <c r="P47" i="11"/>
  <c r="D48" i="11"/>
  <c r="I27" i="11" s="1"/>
  <c r="G48" i="11"/>
  <c r="H48" i="11"/>
  <c r="K48" i="11"/>
  <c r="L48" i="11"/>
  <c r="O48" i="11"/>
  <c r="P48" i="11"/>
  <c r="D49" i="11"/>
  <c r="I28" i="11" s="1"/>
  <c r="G49" i="11"/>
  <c r="H49" i="11"/>
  <c r="K49" i="11"/>
  <c r="L49" i="11"/>
  <c r="O49" i="11"/>
  <c r="D50" i="11"/>
  <c r="I29" i="11" s="1"/>
  <c r="G50" i="11"/>
  <c r="H50" i="11"/>
  <c r="K50" i="11"/>
  <c r="L50" i="11"/>
  <c r="O50" i="11"/>
  <c r="P50" i="11"/>
  <c r="D51" i="11"/>
  <c r="I30" i="11" s="1"/>
  <c r="G51" i="11"/>
  <c r="H51" i="11"/>
  <c r="K51" i="11"/>
  <c r="L51" i="11"/>
  <c r="O51" i="11"/>
  <c r="P51" i="11"/>
  <c r="D52" i="11"/>
  <c r="I31" i="11" s="1"/>
  <c r="G52" i="11"/>
  <c r="H52" i="11"/>
  <c r="K52" i="11"/>
  <c r="L52" i="11"/>
  <c r="O52" i="11"/>
  <c r="P52" i="11"/>
  <c r="D53" i="11"/>
  <c r="I32" i="11" s="1"/>
  <c r="G53" i="11"/>
  <c r="H53" i="11"/>
  <c r="K53" i="11"/>
  <c r="L53" i="11"/>
  <c r="O53" i="11"/>
  <c r="P53" i="11"/>
  <c r="D54" i="11"/>
  <c r="I33" i="11" s="1"/>
  <c r="G54" i="11"/>
  <c r="H54" i="11"/>
  <c r="K54" i="11"/>
  <c r="L54" i="11"/>
  <c r="O54" i="11"/>
  <c r="P54" i="11"/>
  <c r="D55" i="11"/>
  <c r="I34" i="11" s="1"/>
  <c r="G55" i="11"/>
  <c r="H55" i="11"/>
  <c r="K55" i="11"/>
  <c r="L55" i="11"/>
  <c r="O55" i="11"/>
  <c r="P55" i="11"/>
  <c r="D56" i="11"/>
  <c r="I35" i="11" s="1"/>
  <c r="G56" i="11"/>
  <c r="H56" i="11"/>
  <c r="K56" i="11"/>
  <c r="L56" i="11"/>
  <c r="O56" i="11"/>
  <c r="P56" i="11"/>
  <c r="D57" i="11"/>
  <c r="I36" i="11" s="1"/>
  <c r="G57" i="11"/>
  <c r="H57" i="11"/>
  <c r="K57" i="11"/>
  <c r="L57" i="11"/>
  <c r="O57" i="11"/>
  <c r="P57" i="11"/>
  <c r="D58" i="11"/>
  <c r="I37" i="11" s="1"/>
  <c r="G58" i="11"/>
  <c r="H58" i="11"/>
  <c r="K58" i="11"/>
  <c r="L58" i="11"/>
  <c r="O58" i="11"/>
  <c r="P58" i="11"/>
  <c r="D59" i="11"/>
  <c r="I38" i="11" s="1"/>
  <c r="G59" i="11"/>
  <c r="H59" i="11"/>
  <c r="K59" i="11"/>
  <c r="L59" i="11"/>
  <c r="O59" i="11"/>
  <c r="P59" i="11"/>
  <c r="D60" i="11"/>
  <c r="I39" i="11" s="1"/>
  <c r="G60" i="11"/>
  <c r="H60" i="11"/>
  <c r="K60" i="11"/>
  <c r="L60" i="11"/>
  <c r="O60" i="11"/>
  <c r="P60" i="11"/>
  <c r="D61" i="11"/>
  <c r="I40" i="11" s="1"/>
  <c r="G61" i="11"/>
  <c r="K61" i="11"/>
  <c r="O61" i="11"/>
  <c r="P61" i="11"/>
  <c r="D62" i="11"/>
  <c r="I41" i="11" s="1"/>
  <c r="G62" i="11"/>
  <c r="H62" i="11"/>
  <c r="K62" i="11"/>
  <c r="L62" i="11"/>
  <c r="O62" i="11"/>
  <c r="P62" i="11"/>
  <c r="D63" i="11"/>
  <c r="I42" i="11" s="1"/>
  <c r="G63" i="11"/>
  <c r="H63" i="11"/>
  <c r="K63" i="11"/>
  <c r="L63" i="11"/>
  <c r="O63" i="11"/>
  <c r="D64" i="11"/>
  <c r="I43" i="11"/>
  <c r="G64" i="11"/>
  <c r="H64" i="11"/>
  <c r="K64" i="11"/>
  <c r="L64" i="11"/>
  <c r="O64" i="11"/>
  <c r="P64" i="11"/>
  <c r="D65" i="11"/>
  <c r="I44" i="11"/>
  <c r="G65" i="11"/>
  <c r="H65" i="11"/>
  <c r="K65" i="11"/>
  <c r="L65" i="11"/>
  <c r="O65" i="11"/>
  <c r="P65" i="11"/>
  <c r="D66" i="11"/>
  <c r="I45" i="11"/>
  <c r="G66" i="11"/>
  <c r="H66" i="11"/>
  <c r="K66" i="11"/>
  <c r="L66" i="11"/>
  <c r="O66" i="11"/>
  <c r="P66" i="11"/>
  <c r="D67" i="11"/>
  <c r="I46" i="11"/>
  <c r="G67" i="11"/>
  <c r="H67" i="11"/>
  <c r="K67" i="11"/>
  <c r="L67" i="11"/>
  <c r="O67" i="11"/>
  <c r="P67" i="11"/>
  <c r="D68" i="11"/>
  <c r="I47" i="11"/>
  <c r="G68" i="11"/>
  <c r="H68" i="11"/>
  <c r="K68" i="11"/>
  <c r="L68" i="11"/>
  <c r="O68" i="11"/>
  <c r="P68" i="11"/>
  <c r="D69" i="11"/>
  <c r="I48" i="11"/>
  <c r="G69" i="11"/>
  <c r="H69" i="11"/>
  <c r="K69" i="11"/>
  <c r="L69" i="11"/>
  <c r="O69" i="11"/>
  <c r="P69" i="11"/>
  <c r="D70" i="11"/>
  <c r="I49" i="11"/>
  <c r="G70" i="11"/>
  <c r="H70" i="11"/>
  <c r="K70" i="11"/>
  <c r="L70" i="11"/>
  <c r="D71" i="11"/>
  <c r="I50" i="11"/>
  <c r="G71" i="11"/>
  <c r="H71" i="11"/>
  <c r="K71" i="11"/>
  <c r="L71" i="11"/>
  <c r="D72" i="11"/>
  <c r="I51" i="11" s="1"/>
  <c r="D73" i="11"/>
  <c r="I52" i="11" s="1"/>
  <c r="D74" i="11"/>
  <c r="I53" i="11" s="1"/>
  <c r="D75" i="11"/>
  <c r="I54" i="11" s="1"/>
  <c r="D76" i="11"/>
  <c r="I55" i="11" s="1"/>
  <c r="D77" i="11"/>
  <c r="I56" i="11" s="1"/>
  <c r="D78" i="11"/>
  <c r="I57" i="11" s="1"/>
  <c r="D79" i="11"/>
  <c r="I58" i="11" s="1"/>
  <c r="D80" i="11"/>
  <c r="I59" i="11" s="1"/>
  <c r="D81" i="11"/>
  <c r="I60" i="11" s="1"/>
  <c r="D82" i="11"/>
  <c r="I62" i="11" s="1"/>
  <c r="D83" i="11"/>
  <c r="I63" i="11" s="1"/>
  <c r="D84" i="11"/>
  <c r="I64" i="11" s="1"/>
  <c r="D85" i="11"/>
  <c r="I65" i="11" s="1"/>
  <c r="D86" i="11"/>
  <c r="I66" i="11" s="1"/>
  <c r="D87" i="11"/>
  <c r="I67" i="11" s="1"/>
  <c r="D88" i="11"/>
  <c r="I68" i="11" s="1"/>
  <c r="D89" i="11"/>
  <c r="I69" i="11" s="1"/>
  <c r="D90" i="11"/>
  <c r="I70" i="11" s="1"/>
  <c r="D91" i="11"/>
  <c r="I71" i="11" s="1"/>
  <c r="D92" i="11"/>
  <c r="M2" i="11" s="1"/>
  <c r="D93" i="11"/>
  <c r="M3" i="11" s="1"/>
  <c r="D94" i="11"/>
  <c r="M4" i="11" s="1"/>
  <c r="D95" i="11"/>
  <c r="M5" i="11" s="1"/>
  <c r="D96" i="11"/>
  <c r="M6" i="11" s="1"/>
  <c r="D97" i="11"/>
  <c r="M7" i="11" s="1"/>
  <c r="D98" i="11"/>
  <c r="M8" i="11" s="1"/>
  <c r="D99" i="11"/>
  <c r="M9" i="11" s="1"/>
  <c r="D100" i="11"/>
  <c r="M10" i="11" s="1"/>
  <c r="D101" i="11"/>
  <c r="M11" i="11" s="1"/>
  <c r="D102" i="11"/>
  <c r="M12" i="11" s="1"/>
  <c r="D103" i="11"/>
  <c r="M13" i="11" s="1"/>
  <c r="D104" i="11"/>
  <c r="M15" i="11" s="1"/>
  <c r="D105" i="11"/>
  <c r="M16" i="11" s="1"/>
  <c r="D106" i="11"/>
  <c r="M17" i="11" s="1"/>
  <c r="D107" i="11"/>
  <c r="M18" i="11" s="1"/>
  <c r="D108" i="11"/>
  <c r="M19" i="11" s="1"/>
  <c r="D109" i="11"/>
  <c r="M20" i="11"/>
  <c r="D110" i="11"/>
  <c r="M21" i="11" s="1"/>
  <c r="D111" i="11"/>
  <c r="M22" i="11" s="1"/>
  <c r="D112" i="11"/>
  <c r="M23" i="11" s="1"/>
  <c r="D113" i="11"/>
  <c r="M24" i="11" s="1"/>
  <c r="D114" i="11"/>
  <c r="M25" i="11" s="1"/>
  <c r="D115" i="11"/>
  <c r="M26" i="11" s="1"/>
  <c r="D116" i="11"/>
  <c r="M28" i="11" s="1"/>
  <c r="D117" i="11"/>
  <c r="M29" i="11" s="1"/>
  <c r="D118" i="11"/>
  <c r="M30" i="11" s="1"/>
  <c r="D119" i="11"/>
  <c r="M31" i="11" s="1"/>
  <c r="D120" i="11"/>
  <c r="M33" i="11" s="1"/>
  <c r="D121" i="11"/>
  <c r="M34" i="11" s="1"/>
  <c r="D122" i="11"/>
  <c r="M35" i="11" s="1"/>
  <c r="D123" i="11"/>
  <c r="M36" i="11" s="1"/>
  <c r="D124" i="11"/>
  <c r="M37" i="11" s="1"/>
  <c r="D125" i="11"/>
  <c r="M39" i="11" s="1"/>
  <c r="D126" i="11"/>
  <c r="M40" i="11" s="1"/>
  <c r="D127" i="11"/>
  <c r="M41" i="11" s="1"/>
  <c r="D128" i="11"/>
  <c r="M42" i="11" s="1"/>
  <c r="D129" i="11"/>
  <c r="M43" i="11" s="1"/>
  <c r="D130" i="11"/>
  <c r="M44" i="11"/>
  <c r="D131" i="11"/>
  <c r="M45" i="11" s="1"/>
  <c r="D132" i="11"/>
  <c r="M46" i="11" s="1"/>
  <c r="D133" i="11"/>
  <c r="M47" i="11" s="1"/>
  <c r="D134" i="11"/>
  <c r="M48" i="11" s="1"/>
  <c r="D135" i="11"/>
  <c r="M49" i="11" s="1"/>
  <c r="D136" i="11"/>
  <c r="M50" i="11" s="1"/>
  <c r="D137" i="11"/>
  <c r="M51" i="11" s="1"/>
  <c r="D138" i="11"/>
  <c r="M52" i="11" s="1"/>
  <c r="D139" i="11"/>
  <c r="M53" i="11" s="1"/>
  <c r="D140" i="11"/>
  <c r="M54" i="11" s="1"/>
  <c r="D141" i="11"/>
  <c r="M55" i="11" s="1"/>
  <c r="D142" i="11"/>
  <c r="M56" i="11" s="1"/>
  <c r="D143" i="11"/>
  <c r="M57" i="11" s="1"/>
  <c r="D144" i="11"/>
  <c r="M58" i="11" s="1"/>
  <c r="D145" i="11"/>
  <c r="M59" i="11" s="1"/>
  <c r="D146" i="11"/>
  <c r="M60" i="11" s="1"/>
  <c r="D147" i="11"/>
  <c r="M62" i="11" s="1"/>
  <c r="D148" i="11"/>
  <c r="M63" i="11" s="1"/>
  <c r="D149" i="11"/>
  <c r="M64" i="11" s="1"/>
  <c r="D150" i="11"/>
  <c r="M65" i="11" s="1"/>
  <c r="D151" i="11"/>
  <c r="M66" i="11" s="1"/>
  <c r="D152" i="11"/>
  <c r="M67" i="11" s="1"/>
  <c r="D153" i="11"/>
  <c r="M68" i="11" s="1"/>
  <c r="D154" i="11"/>
  <c r="M69" i="11"/>
  <c r="D155" i="11"/>
  <c r="M70" i="11" s="1"/>
  <c r="D156" i="11"/>
  <c r="M71" i="11" s="1"/>
  <c r="D157" i="11"/>
  <c r="Q2" i="11" s="1"/>
  <c r="D158" i="11"/>
  <c r="Q3" i="11"/>
  <c r="D159" i="11"/>
  <c r="Q4" i="11" s="1"/>
  <c r="D160" i="11"/>
  <c r="Q5" i="11" s="1"/>
  <c r="D161" i="11"/>
  <c r="Q6" i="11" s="1"/>
  <c r="D162" i="11"/>
  <c r="Q7" i="11"/>
  <c r="D163" i="11"/>
  <c r="Q8" i="11" s="1"/>
  <c r="D164" i="11"/>
  <c r="Q9" i="11" s="1"/>
  <c r="D165" i="11"/>
  <c r="Q10" i="11" s="1"/>
  <c r="D166" i="11"/>
  <c r="Q11" i="11" s="1"/>
  <c r="D167" i="11"/>
  <c r="Q12" i="11" s="1"/>
  <c r="D168" i="11"/>
  <c r="Q13" i="11" s="1"/>
  <c r="D169" i="11"/>
  <c r="Q14" i="11" s="1"/>
  <c r="D170" i="11"/>
  <c r="Q15" i="11"/>
  <c r="D171" i="11"/>
  <c r="Q16" i="11" s="1"/>
  <c r="D172" i="11"/>
  <c r="Q18" i="11" s="1"/>
  <c r="D173" i="11"/>
  <c r="Q19" i="11" s="1"/>
  <c r="D174" i="11"/>
  <c r="Q20" i="11" s="1"/>
  <c r="D175" i="11"/>
  <c r="Q21" i="11" s="1"/>
  <c r="D176" i="11"/>
  <c r="Q22" i="11" s="1"/>
  <c r="D177" i="11"/>
  <c r="Q23" i="11" s="1"/>
  <c r="D178" i="11"/>
  <c r="Q24" i="11" s="1"/>
  <c r="D179" i="11"/>
  <c r="Q25" i="11" s="1"/>
  <c r="D180" i="11"/>
  <c r="Q26" i="11" s="1"/>
  <c r="D181" i="11"/>
  <c r="Q27" i="11" s="1"/>
  <c r="D182" i="11"/>
  <c r="Q28" i="11" s="1"/>
  <c r="D183" i="11"/>
  <c r="Q30" i="11" s="1"/>
  <c r="D184" i="11"/>
  <c r="Q31" i="11" s="1"/>
  <c r="D185" i="11"/>
  <c r="Q32" i="11" s="1"/>
  <c r="D186" i="11"/>
  <c r="Q33" i="11"/>
  <c r="D187" i="11"/>
  <c r="Q34" i="11" s="1"/>
  <c r="D188" i="11"/>
  <c r="Q35" i="11" s="1"/>
  <c r="D189" i="11"/>
  <c r="Q36" i="11" s="1"/>
  <c r="D190" i="11"/>
  <c r="Q37" i="11" s="1"/>
  <c r="D191" i="11"/>
  <c r="Q38" i="11" s="1"/>
  <c r="D192" i="11"/>
  <c r="Q39" i="11" s="1"/>
  <c r="D193" i="11"/>
  <c r="Q40" i="11" s="1"/>
  <c r="D194" i="11"/>
  <c r="Q42" i="11"/>
  <c r="D195" i="11"/>
  <c r="Q43" i="11" s="1"/>
  <c r="D196" i="11"/>
  <c r="Q44" i="11" s="1"/>
  <c r="D197" i="11"/>
  <c r="Q45" i="11" s="1"/>
  <c r="D198" i="11"/>
  <c r="Q46" i="11" s="1"/>
  <c r="D199" i="11"/>
  <c r="Q47" i="11" s="1"/>
  <c r="D200" i="11"/>
  <c r="Q48" i="11" s="1"/>
  <c r="D201" i="11"/>
  <c r="Q50" i="11" s="1"/>
  <c r="D202" i="11"/>
  <c r="Q51" i="11"/>
  <c r="D203" i="11"/>
  <c r="Q52" i="11" s="1"/>
  <c r="D204" i="11"/>
  <c r="Q53" i="11" s="1"/>
  <c r="D205" i="11"/>
  <c r="Q54" i="11" s="1"/>
  <c r="D206" i="11"/>
  <c r="Q55" i="11" s="1"/>
  <c r="D207" i="11"/>
  <c r="Q56" i="11" s="1"/>
  <c r="D208" i="11"/>
  <c r="Q57" i="11" s="1"/>
  <c r="D209" i="11"/>
  <c r="Q58" i="11" s="1"/>
  <c r="D210" i="11"/>
  <c r="Q59" i="11" s="1"/>
  <c r="D211" i="11"/>
  <c r="Q60" i="11" s="1"/>
  <c r="D212" i="11"/>
  <c r="Q61" i="11" s="1"/>
  <c r="D213" i="11"/>
  <c r="Q62" i="11" s="1"/>
  <c r="D214" i="11"/>
  <c r="Q64" i="11" s="1"/>
  <c r="D215" i="11"/>
  <c r="Q65" i="11" s="1"/>
  <c r="D216" i="11"/>
  <c r="Q66" i="11" s="1"/>
  <c r="D217" i="11"/>
  <c r="Q67" i="11" s="1"/>
  <c r="D218" i="11"/>
  <c r="Q68" i="11"/>
  <c r="D219" i="11"/>
  <c r="Q69" i="11" s="1"/>
  <c r="D220" i="11"/>
  <c r="U3" i="11" s="1"/>
  <c r="D221" i="11"/>
  <c r="U4" i="11" s="1"/>
  <c r="D222" i="11"/>
  <c r="U5" i="11"/>
  <c r="D223" i="11"/>
  <c r="U6" i="11" s="1"/>
  <c r="A1" i="10"/>
  <c r="R92" i="10"/>
  <c r="E92" i="10" s="1"/>
  <c r="R93" i="10"/>
  <c r="G93" i="10" s="1"/>
  <c r="R94" i="10"/>
  <c r="P94" i="10" s="1"/>
  <c r="R95" i="10"/>
  <c r="E95" i="10" s="1"/>
  <c r="R96" i="10"/>
  <c r="P96" i="10" s="1"/>
  <c r="F97" i="10"/>
  <c r="R101" i="10"/>
  <c r="F101" i="10" s="1"/>
  <c r="R102" i="10"/>
  <c r="R103" i="10"/>
  <c r="R104" i="10"/>
  <c r="P104" i="10" s="1"/>
  <c r="F105" i="10"/>
  <c r="R111" i="10"/>
  <c r="F111" i="10" s="1"/>
  <c r="R112" i="10"/>
  <c r="P112" i="10" s="1"/>
  <c r="R113" i="10"/>
  <c r="P113" i="10" s="1"/>
  <c r="R114" i="10"/>
  <c r="F114" i="10" s="1"/>
  <c r="R115" i="10"/>
  <c r="P115" i="10" s="1"/>
  <c r="R116" i="10"/>
  <c r="R117" i="10"/>
  <c r="J1" i="14"/>
  <c r="BQ7" i="2"/>
  <c r="BQ3" i="2" s="1"/>
  <c r="BO7" i="2"/>
  <c r="BO3" i="2" s="1"/>
  <c r="U26" i="6"/>
  <c r="U25" i="6"/>
  <c r="U24" i="6"/>
  <c r="U23" i="6"/>
  <c r="U22" i="6"/>
  <c r="U21" i="6"/>
  <c r="U20" i="6"/>
  <c r="U19" i="6"/>
  <c r="U18" i="6"/>
  <c r="U17" i="6"/>
  <c r="U16" i="6"/>
  <c r="U15" i="6"/>
  <c r="U14" i="6"/>
  <c r="U13" i="6"/>
  <c r="U12" i="6"/>
  <c r="P77" i="3"/>
  <c r="U11" i="6"/>
  <c r="U10" i="6"/>
  <c r="M26" i="6"/>
  <c r="K26" i="6" s="1"/>
  <c r="F26" i="6"/>
  <c r="M25" i="6"/>
  <c r="K25" i="6" s="1"/>
  <c r="F25" i="6"/>
  <c r="M24" i="6"/>
  <c r="I24" i="6" s="1"/>
  <c r="F24" i="6"/>
  <c r="M23" i="6"/>
  <c r="I23" i="6" s="1"/>
  <c r="F23" i="6"/>
  <c r="M22" i="6"/>
  <c r="I22" i="6" s="1"/>
  <c r="F22" i="6"/>
  <c r="M21" i="6"/>
  <c r="G21" i="6" s="1"/>
  <c r="F21" i="6"/>
  <c r="AK7" i="2"/>
  <c r="M18" i="6"/>
  <c r="F18" i="6"/>
  <c r="F27" i="9" s="1"/>
  <c r="M17" i="6"/>
  <c r="H17" i="6" s="1"/>
  <c r="F17" i="6"/>
  <c r="I24" i="12" s="1"/>
  <c r="M16" i="6"/>
  <c r="H16" i="6" s="1"/>
  <c r="F16" i="6"/>
  <c r="M15" i="6"/>
  <c r="G15" i="6" s="1"/>
  <c r="G24" i="9" s="1"/>
  <c r="F15" i="6"/>
  <c r="I22" i="12" s="1"/>
  <c r="M14" i="6"/>
  <c r="I14" i="6" s="1"/>
  <c r="I23" i="9" s="1"/>
  <c r="F14" i="6"/>
  <c r="M13" i="6"/>
  <c r="G13" i="6" s="1"/>
  <c r="J20" i="12" s="1"/>
  <c r="F13" i="6"/>
  <c r="F22" i="9" s="1"/>
  <c r="M12" i="6"/>
  <c r="I12" i="6" s="1"/>
  <c r="F12" i="6"/>
  <c r="I19" i="12" s="1"/>
  <c r="M11" i="6"/>
  <c r="F11" i="6"/>
  <c r="M10" i="6"/>
  <c r="F10" i="6"/>
  <c r="U9" i="6"/>
  <c r="M9" i="6"/>
  <c r="F9" i="6"/>
  <c r="U8" i="6"/>
  <c r="M8" i="6"/>
  <c r="F8" i="6"/>
  <c r="W7" i="6"/>
  <c r="U7" i="6"/>
  <c r="M7" i="6"/>
  <c r="F7" i="6"/>
  <c r="BP7" i="2"/>
  <c r="BP3" i="2" s="1"/>
  <c r="L147" i="9"/>
  <c r="K147" i="9"/>
  <c r="J147" i="9"/>
  <c r="I147" i="9"/>
  <c r="H147" i="9"/>
  <c r="G147" i="9"/>
  <c r="F147" i="9"/>
  <c r="E147" i="9"/>
  <c r="J201" i="9"/>
  <c r="I201" i="9"/>
  <c r="H201" i="9"/>
  <c r="G201" i="9"/>
  <c r="F201" i="9"/>
  <c r="E201" i="9"/>
  <c r="D201" i="9"/>
  <c r="C201" i="9"/>
  <c r="B9" i="9"/>
  <c r="T7" i="2"/>
  <c r="A188" i="9"/>
  <c r="A181" i="9"/>
  <c r="D181" i="9"/>
  <c r="A182" i="9"/>
  <c r="C182" i="9"/>
  <c r="D182" i="9"/>
  <c r="A183" i="9"/>
  <c r="C183" i="9"/>
  <c r="D183" i="9"/>
  <c r="A184" i="9"/>
  <c r="C184" i="9"/>
  <c r="D184" i="9"/>
  <c r="A185" i="9"/>
  <c r="C185" i="9"/>
  <c r="D185" i="9"/>
  <c r="A186" i="9"/>
  <c r="C186" i="9"/>
  <c r="D186" i="9"/>
  <c r="A187" i="9"/>
  <c r="C187" i="9"/>
  <c r="D187" i="9"/>
  <c r="C188" i="9"/>
  <c r="D188" i="9"/>
  <c r="A189" i="9"/>
  <c r="C189" i="9"/>
  <c r="D189" i="9"/>
  <c r="A190" i="9"/>
  <c r="C190" i="9"/>
  <c r="D190" i="9"/>
  <c r="A191" i="9"/>
  <c r="C191" i="9"/>
  <c r="D191" i="9"/>
  <c r="A192" i="9"/>
  <c r="C192" i="9"/>
  <c r="D192" i="9"/>
  <c r="A193" i="9"/>
  <c r="C193" i="9"/>
  <c r="D193" i="9"/>
  <c r="A194" i="9"/>
  <c r="C194" i="9"/>
  <c r="D194" i="9"/>
  <c r="A195" i="9"/>
  <c r="C195" i="9"/>
  <c r="D195" i="9"/>
  <c r="A196" i="9"/>
  <c r="C196" i="9"/>
  <c r="D196" i="9"/>
  <c r="A197" i="9"/>
  <c r="C197" i="9"/>
  <c r="D197" i="9"/>
  <c r="A198" i="9"/>
  <c r="C198" i="9"/>
  <c r="D198" i="9"/>
  <c r="F184" i="9"/>
  <c r="K184" i="9"/>
  <c r="L184" i="9"/>
  <c r="F185" i="9"/>
  <c r="K185" i="9"/>
  <c r="L185" i="9"/>
  <c r="F186" i="9"/>
  <c r="K186" i="9"/>
  <c r="L186" i="9"/>
  <c r="F187" i="9"/>
  <c r="K187" i="9"/>
  <c r="L187" i="9"/>
  <c r="F188" i="9"/>
  <c r="K188" i="9"/>
  <c r="L188" i="9"/>
  <c r="F189" i="9"/>
  <c r="K189" i="9"/>
  <c r="L189" i="9"/>
  <c r="F190" i="9"/>
  <c r="K190" i="9"/>
  <c r="L190" i="9"/>
  <c r="F191" i="9"/>
  <c r="K191" i="9"/>
  <c r="L191" i="9"/>
  <c r="F192" i="9"/>
  <c r="K192" i="9"/>
  <c r="L192" i="9"/>
  <c r="F193" i="9"/>
  <c r="K193" i="9"/>
  <c r="L193" i="9"/>
  <c r="F194" i="9"/>
  <c r="K194" i="9"/>
  <c r="F195" i="9"/>
  <c r="K195" i="9"/>
  <c r="L195" i="9"/>
  <c r="F196" i="9"/>
  <c r="K196" i="9"/>
  <c r="L196" i="9"/>
  <c r="F197" i="9"/>
  <c r="K197" i="9"/>
  <c r="L197" i="9"/>
  <c r="F198" i="9"/>
  <c r="K198" i="9"/>
  <c r="L198" i="9"/>
  <c r="P110" i="3"/>
  <c r="P109" i="3"/>
  <c r="P108" i="3"/>
  <c r="P107" i="3"/>
  <c r="P106" i="3"/>
  <c r="P105" i="3"/>
  <c r="P104" i="3"/>
  <c r="P103" i="3"/>
  <c r="P102" i="3"/>
  <c r="P101" i="3"/>
  <c r="P100" i="3"/>
  <c r="P99" i="3"/>
  <c r="P98" i="3"/>
  <c r="P97" i="3"/>
  <c r="P96" i="3"/>
  <c r="P95" i="3"/>
  <c r="P94" i="3"/>
  <c r="P93" i="3"/>
  <c r="P92" i="3"/>
  <c r="P91" i="3"/>
  <c r="P90" i="3"/>
  <c r="P89" i="3"/>
  <c r="P88" i="3"/>
  <c r="P87" i="3"/>
  <c r="P86" i="3"/>
  <c r="P85" i="3"/>
  <c r="P83" i="3"/>
  <c r="P82" i="3"/>
  <c r="P81" i="3"/>
  <c r="P80" i="3"/>
  <c r="P79" i="3"/>
  <c r="P78" i="3"/>
  <c r="P76" i="3"/>
  <c r="P75" i="3"/>
  <c r="P74" i="3"/>
  <c r="T24" i="6" s="1"/>
  <c r="P73" i="3"/>
  <c r="P72" i="3"/>
  <c r="P71" i="3"/>
  <c r="P70" i="3"/>
  <c r="P69" i="3"/>
  <c r="P68" i="3"/>
  <c r="P67" i="3"/>
  <c r="P66" i="3"/>
  <c r="P65" i="3"/>
  <c r="P64" i="3"/>
  <c r="P63" i="3"/>
  <c r="P62" i="3"/>
  <c r="T23" i="6" s="1"/>
  <c r="P61" i="3"/>
  <c r="P60" i="3"/>
  <c r="P59" i="3"/>
  <c r="P58" i="3"/>
  <c r="A20" i="1"/>
  <c r="A19" i="1"/>
  <c r="A18" i="1"/>
  <c r="A17" i="1"/>
  <c r="A16" i="1"/>
  <c r="A15" i="1"/>
  <c r="A14" i="1"/>
  <c r="A13" i="1"/>
  <c r="A12" i="1"/>
  <c r="F2" i="9"/>
  <c r="A71" i="9"/>
  <c r="B71" i="9"/>
  <c r="C71" i="9"/>
  <c r="D71" i="9"/>
  <c r="A143" i="9"/>
  <c r="A144" i="9"/>
  <c r="A145" i="9"/>
  <c r="A146" i="9"/>
  <c r="A147" i="9"/>
  <c r="A148" i="9"/>
  <c r="A149" i="9"/>
  <c r="A150" i="9"/>
  <c r="A151" i="9"/>
  <c r="A152" i="9"/>
  <c r="A153" i="9"/>
  <c r="A154" i="9"/>
  <c r="A155" i="9"/>
  <c r="A156" i="9"/>
  <c r="A157" i="9"/>
  <c r="A158" i="9"/>
  <c r="A159" i="9"/>
  <c r="A160" i="9"/>
  <c r="A161" i="9"/>
  <c r="A162" i="9"/>
  <c r="A163" i="9"/>
  <c r="A164" i="9"/>
  <c r="A165" i="9"/>
  <c r="F1" i="9"/>
  <c r="B1" i="9"/>
  <c r="L2" i="9"/>
  <c r="H11" i="9"/>
  <c r="J12" i="9"/>
  <c r="K12" i="9"/>
  <c r="A13" i="9"/>
  <c r="K13" i="9"/>
  <c r="C14" i="9"/>
  <c r="E14" i="9"/>
  <c r="F14" i="9"/>
  <c r="G14" i="9"/>
  <c r="I14" i="9"/>
  <c r="A15" i="9"/>
  <c r="B15" i="9"/>
  <c r="C15" i="9"/>
  <c r="D15" i="9"/>
  <c r="E15" i="9"/>
  <c r="F15" i="9"/>
  <c r="G15" i="9"/>
  <c r="H15" i="9"/>
  <c r="I15" i="9"/>
  <c r="J15" i="9"/>
  <c r="K15" i="9"/>
  <c r="L15" i="9"/>
  <c r="A16" i="9"/>
  <c r="B5" i="9"/>
  <c r="B6" i="9"/>
  <c r="B7" i="9"/>
  <c r="B8" i="9"/>
  <c r="K3" i="9"/>
  <c r="J3" i="9"/>
  <c r="I3" i="9"/>
  <c r="H3" i="9"/>
  <c r="G3" i="9"/>
  <c r="F3" i="9"/>
  <c r="E3" i="9"/>
  <c r="D3" i="9"/>
  <c r="C3" i="9"/>
  <c r="A1" i="9"/>
  <c r="Q55" i="3"/>
  <c r="Q52" i="3"/>
  <c r="Q47" i="3"/>
  <c r="Q41" i="3"/>
  <c r="Q34" i="3"/>
  <c r="Q28" i="3"/>
  <c r="Q24" i="3"/>
  <c r="Q17" i="3"/>
  <c r="Q12" i="3"/>
  <c r="Q7" i="3"/>
  <c r="Q2" i="3"/>
  <c r="A4" i="5"/>
  <c r="A5" i="5" s="1"/>
  <c r="A6" i="5" s="1"/>
  <c r="A7" i="5"/>
  <c r="A8" i="5" s="1"/>
  <c r="A9" i="5" s="1"/>
  <c r="A10" i="5" s="1"/>
  <c r="A11" i="5" s="1"/>
  <c r="A12" i="5" s="1"/>
  <c r="A13" i="5" s="1"/>
  <c r="A14" i="5" s="1"/>
  <c r="A15" i="5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D4" i="5"/>
  <c r="D5" i="5" s="1"/>
  <c r="D6" i="5"/>
  <c r="D7" i="5" s="1"/>
  <c r="D8" i="5" s="1"/>
  <c r="D9" i="5" s="1"/>
  <c r="D10" i="5" s="1"/>
  <c r="D11" i="5"/>
  <c r="D12" i="5" s="1"/>
  <c r="D13" i="5" s="1"/>
  <c r="D14" i="5" s="1"/>
  <c r="D15" i="5" s="1"/>
  <c r="D16" i="5" s="1"/>
  <c r="D17" i="5" s="1"/>
  <c r="D18" i="5" s="1"/>
  <c r="D19" i="5" s="1"/>
  <c r="D20" i="5" s="1"/>
  <c r="D21" i="5" s="1"/>
  <c r="D22" i="5"/>
  <c r="D23" i="5" s="1"/>
  <c r="D24" i="5" s="1"/>
  <c r="D25" i="5" s="1"/>
  <c r="D26" i="5" s="1"/>
  <c r="D27" i="5" s="1"/>
  <c r="D28" i="5" s="1"/>
  <c r="D29" i="5" s="1"/>
  <c r="D30" i="5" s="1"/>
  <c r="D31" i="5" s="1"/>
  <c r="D32" i="5" s="1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D44" i="5" s="1"/>
  <c r="D45" i="5" s="1"/>
  <c r="D46" i="5" s="1"/>
  <c r="D47" i="5" s="1"/>
  <c r="D48" i="5" s="1"/>
  <c r="D49" i="5" s="1"/>
  <c r="D50" i="5" s="1"/>
  <c r="D51" i="5" s="1"/>
  <c r="D52" i="5" s="1"/>
  <c r="D53" i="5" s="1"/>
  <c r="D54" i="5" s="1"/>
  <c r="D55" i="5" s="1"/>
  <c r="D56" i="5" s="1"/>
  <c r="D57" i="5" s="1"/>
  <c r="D58" i="5" s="1"/>
  <c r="D59" i="5" s="1"/>
  <c r="D60" i="5" s="1"/>
  <c r="D61" i="5" s="1"/>
  <c r="D62" i="5" s="1"/>
  <c r="D63" i="5" s="1"/>
  <c r="D64" i="5" s="1"/>
  <c r="D65" i="5" s="1"/>
  <c r="D66" i="5" s="1"/>
  <c r="D67" i="5" s="1"/>
  <c r="D68" i="5" s="1"/>
  <c r="D69" i="5" s="1"/>
  <c r="D70" i="5" s="1"/>
  <c r="D71" i="5" s="1"/>
  <c r="D72" i="5" s="1"/>
  <c r="D73" i="5" s="1"/>
  <c r="D74" i="5" s="1"/>
  <c r="D75" i="5" s="1"/>
  <c r="D76" i="5" s="1"/>
  <c r="D77" i="5" s="1"/>
  <c r="D78" i="5" s="1"/>
  <c r="D79" i="5" s="1"/>
  <c r="D80" i="5" s="1"/>
  <c r="D81" i="5" s="1"/>
  <c r="D82" i="5" s="1"/>
  <c r="D83" i="5" s="1"/>
  <c r="D84" i="5" s="1"/>
  <c r="D85" i="5" s="1"/>
  <c r="D86" i="5" s="1"/>
  <c r="D87" i="5" s="1"/>
  <c r="D88" i="5" s="1"/>
  <c r="D89" i="5" s="1"/>
  <c r="D90" i="5" s="1"/>
  <c r="D91" i="5" s="1"/>
  <c r="D92" i="5" s="1"/>
  <c r="D93" i="5" s="1"/>
  <c r="D94" i="5" s="1"/>
  <c r="D95" i="5" s="1"/>
  <c r="D96" i="5" s="1"/>
  <c r="D97" i="5" s="1"/>
  <c r="D98" i="5" s="1"/>
  <c r="D99" i="5" s="1"/>
  <c r="D100" i="5" s="1"/>
  <c r="D101" i="5" s="1"/>
  <c r="D102" i="5" s="1"/>
  <c r="S5" i="5"/>
  <c r="S6" i="5" s="1"/>
  <c r="S7" i="5" s="1"/>
  <c r="E6" i="5"/>
  <c r="E7" i="5" s="1"/>
  <c r="F6" i="5"/>
  <c r="F7" i="5" s="1"/>
  <c r="G6" i="5"/>
  <c r="G7" i="5" s="1"/>
  <c r="H6" i="5"/>
  <c r="H7" i="5" s="1"/>
  <c r="I6" i="5"/>
  <c r="I7" i="5"/>
  <c r="J6" i="5"/>
  <c r="J7" i="5"/>
  <c r="K6" i="5"/>
  <c r="K7" i="5" s="1"/>
  <c r="L6" i="5"/>
  <c r="L7" i="5" s="1"/>
  <c r="M6" i="5"/>
  <c r="M7" i="5" s="1"/>
  <c r="N6" i="5"/>
  <c r="N7" i="5" s="1"/>
  <c r="O6" i="5"/>
  <c r="O7" i="5" s="1"/>
  <c r="P6" i="5"/>
  <c r="P7" i="5"/>
  <c r="Q6" i="5"/>
  <c r="Q7" i="5" s="1"/>
  <c r="R6" i="5"/>
  <c r="R7" i="5" s="1"/>
  <c r="Y8" i="5"/>
  <c r="Z8" i="5" s="1"/>
  <c r="E9" i="5"/>
  <c r="E10" i="5"/>
  <c r="F9" i="5"/>
  <c r="F10" i="5" s="1"/>
  <c r="G9" i="5"/>
  <c r="G10" i="5" s="1"/>
  <c r="H9" i="5"/>
  <c r="H10" i="5" s="1"/>
  <c r="I9" i="5"/>
  <c r="I10" i="5" s="1"/>
  <c r="J9" i="5"/>
  <c r="J10" i="5" s="1"/>
  <c r="K9" i="5"/>
  <c r="K10" i="5" s="1"/>
  <c r="L9" i="5"/>
  <c r="L10" i="5"/>
  <c r="M9" i="5"/>
  <c r="M10" i="5" s="1"/>
  <c r="N9" i="5"/>
  <c r="N10" i="5" s="1"/>
  <c r="O9" i="5"/>
  <c r="O10" i="5" s="1"/>
  <c r="P9" i="5"/>
  <c r="P10" i="5"/>
  <c r="Q9" i="5"/>
  <c r="Q10" i="5" s="1"/>
  <c r="R9" i="5"/>
  <c r="R10" i="5"/>
  <c r="S9" i="5"/>
  <c r="S10" i="5" s="1"/>
  <c r="T9" i="5"/>
  <c r="T10" i="5"/>
  <c r="U9" i="5"/>
  <c r="U10" i="5" s="1"/>
  <c r="V9" i="5"/>
  <c r="V10" i="5" s="1"/>
  <c r="W9" i="5"/>
  <c r="W10" i="5" s="1"/>
  <c r="X9" i="5"/>
  <c r="X10" i="5"/>
  <c r="AD11" i="5"/>
  <c r="AE11" i="5" s="1"/>
  <c r="AD12" i="5"/>
  <c r="AD13" i="5" s="1"/>
  <c r="AD14" i="5" s="1"/>
  <c r="E12" i="5"/>
  <c r="E13" i="5" s="1"/>
  <c r="E14" i="5" s="1"/>
  <c r="F12" i="5"/>
  <c r="F13" i="5" s="1"/>
  <c r="F14" i="5" s="1"/>
  <c r="G12" i="5"/>
  <c r="G13" i="5" s="1"/>
  <c r="G14" i="5" s="1"/>
  <c r="H12" i="5"/>
  <c r="H13" i="5" s="1"/>
  <c r="H14" i="5" s="1"/>
  <c r="I12" i="5"/>
  <c r="I13" i="5" s="1"/>
  <c r="I14" i="5" s="1"/>
  <c r="J12" i="5"/>
  <c r="J13" i="5" s="1"/>
  <c r="J14" i="5" s="1"/>
  <c r="K12" i="5"/>
  <c r="K13" i="5" s="1"/>
  <c r="K14" i="5" s="1"/>
  <c r="L12" i="5"/>
  <c r="L13" i="5" s="1"/>
  <c r="L14" i="5" s="1"/>
  <c r="M12" i="5"/>
  <c r="M13" i="5" s="1"/>
  <c r="M14" i="5" s="1"/>
  <c r="N12" i="5"/>
  <c r="N13" i="5" s="1"/>
  <c r="N14" i="5" s="1"/>
  <c r="O12" i="5"/>
  <c r="O13" i="5"/>
  <c r="O14" i="5" s="1"/>
  <c r="P12" i="5"/>
  <c r="P13" i="5" s="1"/>
  <c r="P14" i="5"/>
  <c r="Q12" i="5"/>
  <c r="Q13" i="5" s="1"/>
  <c r="Q14" i="5" s="1"/>
  <c r="R12" i="5"/>
  <c r="R13" i="5" s="1"/>
  <c r="R14" i="5"/>
  <c r="S12" i="5"/>
  <c r="S13" i="5" s="1"/>
  <c r="S14" i="5" s="1"/>
  <c r="T12" i="5"/>
  <c r="T13" i="5" s="1"/>
  <c r="T14" i="5" s="1"/>
  <c r="U12" i="5"/>
  <c r="U13" i="5" s="1"/>
  <c r="U14" i="5" s="1"/>
  <c r="V12" i="5"/>
  <c r="V13" i="5" s="1"/>
  <c r="V14" i="5" s="1"/>
  <c r="W12" i="5"/>
  <c r="W13" i="5" s="1"/>
  <c r="W14" i="5" s="1"/>
  <c r="X12" i="5"/>
  <c r="X13" i="5" s="1"/>
  <c r="X14" i="5" s="1"/>
  <c r="Y12" i="5"/>
  <c r="Y13" i="5" s="1"/>
  <c r="Y14" i="5" s="1"/>
  <c r="Z12" i="5"/>
  <c r="Z13" i="5"/>
  <c r="Z14" i="5" s="1"/>
  <c r="AA12" i="5"/>
  <c r="AA13" i="5" s="1"/>
  <c r="AA14" i="5" s="1"/>
  <c r="AB12" i="5"/>
  <c r="AB13" i="5" s="1"/>
  <c r="AB14" i="5" s="1"/>
  <c r="AC12" i="5"/>
  <c r="AC13" i="5" s="1"/>
  <c r="AC14" i="5" s="1"/>
  <c r="AJ15" i="5"/>
  <c r="AK15" i="5" s="1"/>
  <c r="E16" i="5"/>
  <c r="E17" i="5" s="1"/>
  <c r="E18" i="5" s="1"/>
  <c r="E19" i="5" s="1"/>
  <c r="F16" i="5"/>
  <c r="F17" i="5" s="1"/>
  <c r="G16" i="5"/>
  <c r="G17" i="5" s="1"/>
  <c r="H16" i="5"/>
  <c r="H17" i="5"/>
  <c r="H18" i="5" s="1"/>
  <c r="H19" i="5" s="1"/>
  <c r="I16" i="5"/>
  <c r="I17" i="5"/>
  <c r="J16" i="5"/>
  <c r="J17" i="5" s="1"/>
  <c r="J18" i="5" s="1"/>
  <c r="J19" i="5" s="1"/>
  <c r="K16" i="5"/>
  <c r="K17" i="5" s="1"/>
  <c r="K18" i="5"/>
  <c r="K19" i="5" s="1"/>
  <c r="L16" i="5"/>
  <c r="L17" i="5"/>
  <c r="L18" i="5" s="1"/>
  <c r="L19" i="5" s="1"/>
  <c r="M16" i="5"/>
  <c r="M17" i="5"/>
  <c r="M18" i="5"/>
  <c r="M19" i="5" s="1"/>
  <c r="N16" i="5"/>
  <c r="N17" i="5" s="1"/>
  <c r="N18" i="5" s="1"/>
  <c r="N19" i="5" s="1"/>
  <c r="O16" i="5"/>
  <c r="O17" i="5"/>
  <c r="O18" i="5" s="1"/>
  <c r="O19" i="5" s="1"/>
  <c r="P16" i="5"/>
  <c r="P17" i="5" s="1"/>
  <c r="P18" i="5" s="1"/>
  <c r="P19" i="5" s="1"/>
  <c r="Q16" i="5"/>
  <c r="Q17" i="5" s="1"/>
  <c r="Q18" i="5" s="1"/>
  <c r="Q19" i="5" s="1"/>
  <c r="R16" i="5"/>
  <c r="R17" i="5" s="1"/>
  <c r="S16" i="5"/>
  <c r="S17" i="5" s="1"/>
  <c r="T16" i="5"/>
  <c r="T17" i="5"/>
  <c r="T18" i="5" s="1"/>
  <c r="T19" i="5" s="1"/>
  <c r="U16" i="5"/>
  <c r="U17" i="5" s="1"/>
  <c r="U18" i="5" s="1"/>
  <c r="U19" i="5" s="1"/>
  <c r="V16" i="5"/>
  <c r="V17" i="5"/>
  <c r="V18" i="5" s="1"/>
  <c r="V19" i="5"/>
  <c r="W16" i="5"/>
  <c r="W17" i="5"/>
  <c r="W18" i="5" s="1"/>
  <c r="W19" i="5" s="1"/>
  <c r="X16" i="5"/>
  <c r="X17" i="5" s="1"/>
  <c r="X18" i="5" s="1"/>
  <c r="X19" i="5" s="1"/>
  <c r="Y16" i="5"/>
  <c r="Y17" i="5" s="1"/>
  <c r="Y18" i="5" s="1"/>
  <c r="Y19" i="5" s="1"/>
  <c r="Z16" i="5"/>
  <c r="Z17" i="5"/>
  <c r="Z18" i="5" s="1"/>
  <c r="Z19" i="5" s="1"/>
  <c r="AA16" i="5"/>
  <c r="AA17" i="5" s="1"/>
  <c r="AA18" i="5" s="1"/>
  <c r="AA19" i="5" s="1"/>
  <c r="AB16" i="5"/>
  <c r="AB17" i="5"/>
  <c r="AB18" i="5" s="1"/>
  <c r="AB19" i="5" s="1"/>
  <c r="AC16" i="5"/>
  <c r="AC17" i="5"/>
  <c r="AD16" i="5"/>
  <c r="AD17" i="5" s="1"/>
  <c r="AD18" i="5" s="1"/>
  <c r="AD19" i="5" s="1"/>
  <c r="AE16" i="5"/>
  <c r="AE17" i="5" s="1"/>
  <c r="AE18" i="5" s="1"/>
  <c r="AE19" i="5"/>
  <c r="AF16" i="5"/>
  <c r="AF17" i="5" s="1"/>
  <c r="AF18" i="5" s="1"/>
  <c r="AF19" i="5" s="1"/>
  <c r="AG16" i="5"/>
  <c r="AG17" i="5" s="1"/>
  <c r="AG18" i="5" s="1"/>
  <c r="AG19" i="5"/>
  <c r="AH16" i="5"/>
  <c r="AH17" i="5" s="1"/>
  <c r="AH18" i="5" s="1"/>
  <c r="AH19" i="5" s="1"/>
  <c r="AI16" i="5"/>
  <c r="AI17" i="5" s="1"/>
  <c r="AI18" i="5" s="1"/>
  <c r="AI19" i="5" s="1"/>
  <c r="S18" i="5"/>
  <c r="S19" i="5" s="1"/>
  <c r="AL20" i="5"/>
  <c r="E21" i="5"/>
  <c r="E22" i="5" s="1"/>
  <c r="F21" i="5"/>
  <c r="F22" i="5" s="1"/>
  <c r="G21" i="5"/>
  <c r="G22" i="5" s="1"/>
  <c r="H21" i="5"/>
  <c r="H22" i="5" s="1"/>
  <c r="I21" i="5"/>
  <c r="I22" i="5" s="1"/>
  <c r="J21" i="5"/>
  <c r="J22" i="5" s="1"/>
  <c r="K21" i="5"/>
  <c r="K22" i="5" s="1"/>
  <c r="L21" i="5"/>
  <c r="L22" i="5" s="1"/>
  <c r="M21" i="5"/>
  <c r="M22" i="5" s="1"/>
  <c r="N21" i="5"/>
  <c r="N22" i="5"/>
  <c r="O21" i="5"/>
  <c r="O22" i="5" s="1"/>
  <c r="P21" i="5"/>
  <c r="P22" i="5" s="1"/>
  <c r="Q21" i="5"/>
  <c r="Q22" i="5" s="1"/>
  <c r="R21" i="5"/>
  <c r="R22" i="5"/>
  <c r="S21" i="5"/>
  <c r="S22" i="5" s="1"/>
  <c r="T21" i="5"/>
  <c r="T22" i="5"/>
  <c r="U21" i="5"/>
  <c r="U22" i="5" s="1"/>
  <c r="V21" i="5"/>
  <c r="V22" i="5" s="1"/>
  <c r="W21" i="5"/>
  <c r="W22" i="5" s="1"/>
  <c r="X21" i="5"/>
  <c r="X22" i="5"/>
  <c r="Y21" i="5"/>
  <c r="Y22" i="5" s="1"/>
  <c r="Z21" i="5"/>
  <c r="Z22" i="5"/>
  <c r="AA21" i="5"/>
  <c r="AA22" i="5" s="1"/>
  <c r="AB21" i="5"/>
  <c r="AB22" i="5"/>
  <c r="AC21" i="5"/>
  <c r="AC22" i="5" s="1"/>
  <c r="AD21" i="5"/>
  <c r="AD22" i="5" s="1"/>
  <c r="AE21" i="5"/>
  <c r="AE22" i="5" s="1"/>
  <c r="AF21" i="5"/>
  <c r="AF22" i="5"/>
  <c r="AG21" i="5"/>
  <c r="AG22" i="5" s="1"/>
  <c r="AH21" i="5"/>
  <c r="AH22" i="5" s="1"/>
  <c r="AI21" i="5"/>
  <c r="AI22" i="5" s="1"/>
  <c r="AJ21" i="5"/>
  <c r="AJ22" i="5"/>
  <c r="AK21" i="5"/>
  <c r="AK22" i="5"/>
  <c r="AR23" i="5"/>
  <c r="E24" i="5"/>
  <c r="E25" i="5" s="1"/>
  <c r="F24" i="5"/>
  <c r="F25" i="5"/>
  <c r="G24" i="5"/>
  <c r="G25" i="5"/>
  <c r="H24" i="5"/>
  <c r="H25" i="5"/>
  <c r="I24" i="5"/>
  <c r="I25" i="5" s="1"/>
  <c r="J24" i="5"/>
  <c r="J25" i="5" s="1"/>
  <c r="K24" i="5"/>
  <c r="K25" i="5" s="1"/>
  <c r="L24" i="5"/>
  <c r="L25" i="5"/>
  <c r="M24" i="5"/>
  <c r="M25" i="5" s="1"/>
  <c r="N24" i="5"/>
  <c r="N25" i="5"/>
  <c r="O24" i="5"/>
  <c r="O25" i="5"/>
  <c r="P24" i="5"/>
  <c r="P25" i="5"/>
  <c r="Q24" i="5"/>
  <c r="Q25" i="5" s="1"/>
  <c r="R24" i="5"/>
  <c r="R25" i="5" s="1"/>
  <c r="S24" i="5"/>
  <c r="S25" i="5" s="1"/>
  <c r="T24" i="5"/>
  <c r="T25" i="5" s="1"/>
  <c r="U24" i="5"/>
  <c r="U25" i="5" s="1"/>
  <c r="V24" i="5"/>
  <c r="V25" i="5"/>
  <c r="W24" i="5"/>
  <c r="W25" i="5"/>
  <c r="X24" i="5"/>
  <c r="X25" i="5"/>
  <c r="Y24" i="5"/>
  <c r="Y25" i="5" s="1"/>
  <c r="Z24" i="5"/>
  <c r="Z25" i="5" s="1"/>
  <c r="AA24" i="5"/>
  <c r="AA25" i="5" s="1"/>
  <c r="AB24" i="5"/>
  <c r="AB25" i="5" s="1"/>
  <c r="AC24" i="5"/>
  <c r="AC25" i="5" s="1"/>
  <c r="AD24" i="5"/>
  <c r="AD25" i="5"/>
  <c r="AE24" i="5"/>
  <c r="AE25" i="5"/>
  <c r="AF24" i="5"/>
  <c r="AF25" i="5"/>
  <c r="AG24" i="5"/>
  <c r="AG25" i="5" s="1"/>
  <c r="AH24" i="5"/>
  <c r="AH25" i="5" s="1"/>
  <c r="AI24" i="5"/>
  <c r="AI25" i="5" s="1"/>
  <c r="AJ24" i="5"/>
  <c r="AJ25" i="5" s="1"/>
  <c r="AK24" i="5"/>
  <c r="AK25" i="5" s="1"/>
  <c r="AL24" i="5"/>
  <c r="AL25" i="5"/>
  <c r="AM24" i="5"/>
  <c r="AM25" i="5"/>
  <c r="AN24" i="5"/>
  <c r="AN25" i="5" s="1"/>
  <c r="AO24" i="5"/>
  <c r="AO25" i="5" s="1"/>
  <c r="AP24" i="5"/>
  <c r="AP25" i="5" s="1"/>
  <c r="AQ24" i="5"/>
  <c r="AQ25" i="5" s="1"/>
  <c r="AV26" i="5"/>
  <c r="AW26" i="5" s="1"/>
  <c r="E27" i="5"/>
  <c r="E28" i="5" s="1"/>
  <c r="E29" i="5" s="1"/>
  <c r="F27" i="5"/>
  <c r="F28" i="5" s="1"/>
  <c r="F29" i="5" s="1"/>
  <c r="G27" i="5"/>
  <c r="G28" i="5" s="1"/>
  <c r="G29" i="5"/>
  <c r="H27" i="5"/>
  <c r="H28" i="5" s="1"/>
  <c r="H29" i="5" s="1"/>
  <c r="I27" i="5"/>
  <c r="I28" i="5"/>
  <c r="I29" i="5" s="1"/>
  <c r="J27" i="5"/>
  <c r="J28" i="5"/>
  <c r="J29" i="5" s="1"/>
  <c r="K27" i="5"/>
  <c r="K28" i="5"/>
  <c r="K29" i="5" s="1"/>
  <c r="L27" i="5"/>
  <c r="L28" i="5" s="1"/>
  <c r="L29" i="5" s="1"/>
  <c r="M27" i="5"/>
  <c r="M28" i="5" s="1"/>
  <c r="M29" i="5" s="1"/>
  <c r="N27" i="5"/>
  <c r="N28" i="5" s="1"/>
  <c r="N29" i="5"/>
  <c r="O27" i="5"/>
  <c r="O28" i="5" s="1"/>
  <c r="O29" i="5" s="1"/>
  <c r="P27" i="5"/>
  <c r="P28" i="5" s="1"/>
  <c r="P29" i="5" s="1"/>
  <c r="Q27" i="5"/>
  <c r="Q28" i="5"/>
  <c r="Q29" i="5" s="1"/>
  <c r="R27" i="5"/>
  <c r="R28" i="5" s="1"/>
  <c r="R29" i="5"/>
  <c r="S27" i="5"/>
  <c r="S28" i="5"/>
  <c r="S29" i="5" s="1"/>
  <c r="T27" i="5"/>
  <c r="T28" i="5" s="1"/>
  <c r="T29" i="5" s="1"/>
  <c r="U27" i="5"/>
  <c r="U28" i="5" s="1"/>
  <c r="U29" i="5" s="1"/>
  <c r="V27" i="5"/>
  <c r="V28" i="5" s="1"/>
  <c r="V29" i="5" s="1"/>
  <c r="W27" i="5"/>
  <c r="W28" i="5" s="1"/>
  <c r="W29" i="5" s="1"/>
  <c r="X27" i="5"/>
  <c r="X28" i="5" s="1"/>
  <c r="X29" i="5" s="1"/>
  <c r="Y27" i="5"/>
  <c r="Y28" i="5" s="1"/>
  <c r="Y29" i="5" s="1"/>
  <c r="Z27" i="5"/>
  <c r="Z28" i="5"/>
  <c r="Z29" i="5" s="1"/>
  <c r="AA27" i="5"/>
  <c r="AA28" i="5"/>
  <c r="AA29" i="5" s="1"/>
  <c r="AB27" i="5"/>
  <c r="AB28" i="5" s="1"/>
  <c r="AB29" i="5" s="1"/>
  <c r="AC27" i="5"/>
  <c r="AC28" i="5" s="1"/>
  <c r="AC29" i="5" s="1"/>
  <c r="AD27" i="5"/>
  <c r="AD28" i="5" s="1"/>
  <c r="AD29" i="5" s="1"/>
  <c r="AE27" i="5"/>
  <c r="AE28" i="5" s="1"/>
  <c r="AE29" i="5"/>
  <c r="AF27" i="5"/>
  <c r="AF28" i="5" s="1"/>
  <c r="AF29" i="5" s="1"/>
  <c r="AG27" i="5"/>
  <c r="AG28" i="5" s="1"/>
  <c r="AG29" i="5"/>
  <c r="AH27" i="5"/>
  <c r="AH28" i="5" s="1"/>
  <c r="AH29" i="5" s="1"/>
  <c r="AI27" i="5"/>
  <c r="AI28" i="5" s="1"/>
  <c r="AI29" i="5" s="1"/>
  <c r="AJ27" i="5"/>
  <c r="AJ28" i="5" s="1"/>
  <c r="AJ29" i="5" s="1"/>
  <c r="AK27" i="5"/>
  <c r="AK28" i="5" s="1"/>
  <c r="AK29" i="5" s="1"/>
  <c r="AL27" i="5"/>
  <c r="AL28" i="5" s="1"/>
  <c r="AL29" i="5" s="1"/>
  <c r="AM27" i="5"/>
  <c r="AM28" i="5"/>
  <c r="AM29" i="5" s="1"/>
  <c r="AN27" i="5"/>
  <c r="AN28" i="5" s="1"/>
  <c r="AN29" i="5" s="1"/>
  <c r="AO27" i="5"/>
  <c r="AO28" i="5" s="1"/>
  <c r="AO29" i="5"/>
  <c r="AP27" i="5"/>
  <c r="AP28" i="5" s="1"/>
  <c r="AP29" i="5"/>
  <c r="AQ27" i="5"/>
  <c r="AQ28" i="5" s="1"/>
  <c r="AQ29" i="5" s="1"/>
  <c r="AR27" i="5"/>
  <c r="AR28" i="5"/>
  <c r="AR29" i="5"/>
  <c r="AS27" i="5"/>
  <c r="AS28" i="5"/>
  <c r="AS29" i="5" s="1"/>
  <c r="AT27" i="5"/>
  <c r="AT28" i="5" s="1"/>
  <c r="AT29" i="5" s="1"/>
  <c r="AU27" i="5"/>
  <c r="AU28" i="5" s="1"/>
  <c r="AU29" i="5" s="1"/>
  <c r="E31" i="5"/>
  <c r="E32" i="5" s="1"/>
  <c r="E33" i="5" s="1"/>
  <c r="E34" i="5" s="1"/>
  <c r="F31" i="5"/>
  <c r="F32" i="5" s="1"/>
  <c r="F33" i="5" s="1"/>
  <c r="F34" i="5" s="1"/>
  <c r="G31" i="5"/>
  <c r="G32" i="5" s="1"/>
  <c r="G33" i="5" s="1"/>
  <c r="G34" i="5" s="1"/>
  <c r="H31" i="5"/>
  <c r="H32" i="5"/>
  <c r="H33" i="5" s="1"/>
  <c r="H34" i="5" s="1"/>
  <c r="I31" i="5"/>
  <c r="I32" i="5" s="1"/>
  <c r="I33" i="5" s="1"/>
  <c r="I34" i="5" s="1"/>
  <c r="J31" i="5"/>
  <c r="J32" i="5" s="1"/>
  <c r="J33" i="5" s="1"/>
  <c r="J34" i="5" s="1"/>
  <c r="K31" i="5"/>
  <c r="K32" i="5" s="1"/>
  <c r="K33" i="5" s="1"/>
  <c r="K34" i="5" s="1"/>
  <c r="L31" i="5"/>
  <c r="L32" i="5" s="1"/>
  <c r="L33" i="5" s="1"/>
  <c r="L34" i="5" s="1"/>
  <c r="M31" i="5"/>
  <c r="M32" i="5"/>
  <c r="M33" i="5" s="1"/>
  <c r="M34" i="5" s="1"/>
  <c r="N31" i="5"/>
  <c r="N32" i="5" s="1"/>
  <c r="N33" i="5" s="1"/>
  <c r="N34" i="5" s="1"/>
  <c r="O31" i="5"/>
  <c r="O32" i="5" s="1"/>
  <c r="O33" i="5" s="1"/>
  <c r="O34" i="5" s="1"/>
  <c r="P31" i="5"/>
  <c r="P32" i="5"/>
  <c r="P33" i="5" s="1"/>
  <c r="P34" i="5" s="1"/>
  <c r="Q31" i="5"/>
  <c r="Q32" i="5"/>
  <c r="Q33" i="5" s="1"/>
  <c r="Q34" i="5" s="1"/>
  <c r="R31" i="5"/>
  <c r="R32" i="5" s="1"/>
  <c r="R33" i="5"/>
  <c r="R34" i="5" s="1"/>
  <c r="S31" i="5"/>
  <c r="S32" i="5"/>
  <c r="S33" i="5" s="1"/>
  <c r="S34" i="5" s="1"/>
  <c r="T31" i="5"/>
  <c r="T32" i="5"/>
  <c r="T33" i="5" s="1"/>
  <c r="T34" i="5" s="1"/>
  <c r="U31" i="5"/>
  <c r="U32" i="5" s="1"/>
  <c r="U33" i="5" s="1"/>
  <c r="U34" i="5" s="1"/>
  <c r="V31" i="5"/>
  <c r="V32" i="5" s="1"/>
  <c r="V33" i="5"/>
  <c r="V34" i="5" s="1"/>
  <c r="W31" i="5"/>
  <c r="W32" i="5" s="1"/>
  <c r="W33" i="5" s="1"/>
  <c r="W34" i="5" s="1"/>
  <c r="X31" i="5"/>
  <c r="X32" i="5"/>
  <c r="X33" i="5"/>
  <c r="X34" i="5" s="1"/>
  <c r="Y31" i="5"/>
  <c r="Y32" i="5"/>
  <c r="Y33" i="5" s="1"/>
  <c r="Y34" i="5" s="1"/>
  <c r="Z31" i="5"/>
  <c r="Z32" i="5"/>
  <c r="Z33" i="5" s="1"/>
  <c r="Z34" i="5" s="1"/>
  <c r="AA31" i="5"/>
  <c r="AA32" i="5" s="1"/>
  <c r="AA33" i="5" s="1"/>
  <c r="AA34" i="5" s="1"/>
  <c r="AB31" i="5"/>
  <c r="AB32" i="5"/>
  <c r="AB33" i="5" s="1"/>
  <c r="AB34" i="5" s="1"/>
  <c r="AC31" i="5"/>
  <c r="AC32" i="5" s="1"/>
  <c r="AC33" i="5" s="1"/>
  <c r="AC34" i="5" s="1"/>
  <c r="AD31" i="5"/>
  <c r="AD32" i="5" s="1"/>
  <c r="AD33" i="5" s="1"/>
  <c r="AD34" i="5" s="1"/>
  <c r="AE31" i="5"/>
  <c r="AE32" i="5" s="1"/>
  <c r="AE33" i="5" s="1"/>
  <c r="AE34" i="5" s="1"/>
  <c r="AF31" i="5"/>
  <c r="AF32" i="5" s="1"/>
  <c r="AF33" i="5" s="1"/>
  <c r="AF34" i="5" s="1"/>
  <c r="AG31" i="5"/>
  <c r="AG32" i="5"/>
  <c r="AG33" i="5"/>
  <c r="AG34" i="5" s="1"/>
  <c r="AH31" i="5"/>
  <c r="AH32" i="5" s="1"/>
  <c r="AH33" i="5" s="1"/>
  <c r="AH34" i="5" s="1"/>
  <c r="AI31" i="5"/>
  <c r="AI32" i="5"/>
  <c r="AI33" i="5" s="1"/>
  <c r="AI34" i="5" s="1"/>
  <c r="AJ31" i="5"/>
  <c r="AJ32" i="5" s="1"/>
  <c r="AJ33" i="5" s="1"/>
  <c r="AJ34" i="5" s="1"/>
  <c r="AK31" i="5"/>
  <c r="AK32" i="5" s="1"/>
  <c r="AK33" i="5" s="1"/>
  <c r="AK34" i="5" s="1"/>
  <c r="AL31" i="5"/>
  <c r="AL32" i="5" s="1"/>
  <c r="AL33" i="5" s="1"/>
  <c r="AL34" i="5" s="1"/>
  <c r="AM31" i="5"/>
  <c r="AM32" i="5"/>
  <c r="AM33" i="5" s="1"/>
  <c r="AM34" i="5" s="1"/>
  <c r="AN31" i="5"/>
  <c r="AN32" i="5" s="1"/>
  <c r="AN33" i="5" s="1"/>
  <c r="AN34" i="5" s="1"/>
  <c r="AO31" i="5"/>
  <c r="AO32" i="5" s="1"/>
  <c r="AO33" i="5" s="1"/>
  <c r="AO34" i="5" s="1"/>
  <c r="AP31" i="5"/>
  <c r="AP32" i="5" s="1"/>
  <c r="AP33" i="5" s="1"/>
  <c r="AP34" i="5" s="1"/>
  <c r="AQ31" i="5"/>
  <c r="AQ32" i="5" s="1"/>
  <c r="AQ33" i="5" s="1"/>
  <c r="AQ34" i="5" s="1"/>
  <c r="AR31" i="5"/>
  <c r="AR32" i="5" s="1"/>
  <c r="AR33" i="5" s="1"/>
  <c r="AR34" i="5" s="1"/>
  <c r="AS31" i="5"/>
  <c r="AS32" i="5" s="1"/>
  <c r="AS33" i="5" s="1"/>
  <c r="AS34" i="5" s="1"/>
  <c r="AT31" i="5"/>
  <c r="AT32" i="5" s="1"/>
  <c r="AT33" i="5" s="1"/>
  <c r="AT34" i="5" s="1"/>
  <c r="AU31" i="5"/>
  <c r="AU32" i="5"/>
  <c r="AU33" i="5" s="1"/>
  <c r="AU34" i="5" s="1"/>
  <c r="AV31" i="5"/>
  <c r="AV32" i="5" s="1"/>
  <c r="AV33" i="5" s="1"/>
  <c r="AV34" i="5" s="1"/>
  <c r="AW31" i="5"/>
  <c r="AW32" i="5" s="1"/>
  <c r="AW33" i="5" s="1"/>
  <c r="AW34" i="5" s="1"/>
  <c r="AX31" i="5"/>
  <c r="AX32" i="5" s="1"/>
  <c r="AX33" i="5" s="1"/>
  <c r="AX34" i="5" s="1"/>
  <c r="AY31" i="5"/>
  <c r="AY32" i="5" s="1"/>
  <c r="AY33" i="5" s="1"/>
  <c r="AY34" i="5" s="1"/>
  <c r="AZ31" i="5"/>
  <c r="AZ32" i="5" s="1"/>
  <c r="AZ33" i="5" s="1"/>
  <c r="AZ34" i="5" s="1"/>
  <c r="BA31" i="5"/>
  <c r="BA32" i="5" s="1"/>
  <c r="BA33" i="5" s="1"/>
  <c r="BA34" i="5" s="1"/>
  <c r="BB31" i="5"/>
  <c r="BB32" i="5" s="1"/>
  <c r="BB33" i="5" s="1"/>
  <c r="BB34" i="5" s="1"/>
  <c r="BC31" i="5"/>
  <c r="BC32" i="5"/>
  <c r="BC33" i="5" s="1"/>
  <c r="BC34" i="5" s="1"/>
  <c r="BB35" i="5"/>
  <c r="E36" i="5"/>
  <c r="E37" i="5" s="1"/>
  <c r="E38" i="5" s="1"/>
  <c r="F36" i="5"/>
  <c r="F37" i="5" s="1"/>
  <c r="F38" i="5" s="1"/>
  <c r="G36" i="5"/>
  <c r="G37" i="5"/>
  <c r="G38" i="5" s="1"/>
  <c r="H36" i="5"/>
  <c r="H37" i="5"/>
  <c r="H38" i="5"/>
  <c r="I36" i="5"/>
  <c r="I37" i="5" s="1"/>
  <c r="I38" i="5" s="1"/>
  <c r="J36" i="5"/>
  <c r="J37" i="5" s="1"/>
  <c r="J38" i="5" s="1"/>
  <c r="K36" i="5"/>
  <c r="K37" i="5" s="1"/>
  <c r="K38" i="5" s="1"/>
  <c r="L36" i="5"/>
  <c r="L37" i="5" s="1"/>
  <c r="L38" i="5" s="1"/>
  <c r="M36" i="5"/>
  <c r="M37" i="5" s="1"/>
  <c r="M38" i="5" s="1"/>
  <c r="N36" i="5"/>
  <c r="N37" i="5" s="1"/>
  <c r="N38" i="5" s="1"/>
  <c r="O36" i="5"/>
  <c r="O37" i="5"/>
  <c r="O38" i="5"/>
  <c r="P36" i="5"/>
  <c r="P37" i="5" s="1"/>
  <c r="P38" i="5" s="1"/>
  <c r="Q36" i="5"/>
  <c r="Q37" i="5" s="1"/>
  <c r="Q38" i="5" s="1"/>
  <c r="R36" i="5"/>
  <c r="S36" i="5"/>
  <c r="S37" i="5" s="1"/>
  <c r="S38" i="5"/>
  <c r="T36" i="5"/>
  <c r="T37" i="5" s="1"/>
  <c r="T38" i="5" s="1"/>
  <c r="U36" i="5"/>
  <c r="U37" i="5" s="1"/>
  <c r="U38" i="5"/>
  <c r="V36" i="5"/>
  <c r="V37" i="5"/>
  <c r="V38" i="5" s="1"/>
  <c r="W36" i="5"/>
  <c r="W37" i="5" s="1"/>
  <c r="W38" i="5" s="1"/>
  <c r="X36" i="5"/>
  <c r="X37" i="5" s="1"/>
  <c r="X38" i="5" s="1"/>
  <c r="Y36" i="5"/>
  <c r="Y37" i="5" s="1"/>
  <c r="Y38" i="5" s="1"/>
  <c r="Z36" i="5"/>
  <c r="Z37" i="5"/>
  <c r="Z38" i="5"/>
  <c r="AA36" i="5"/>
  <c r="AA37" i="5" s="1"/>
  <c r="AA38" i="5" s="1"/>
  <c r="AB36" i="5"/>
  <c r="AB37" i="5" s="1"/>
  <c r="AB38" i="5" s="1"/>
  <c r="AC36" i="5"/>
  <c r="AC37" i="5" s="1"/>
  <c r="AC38" i="5" s="1"/>
  <c r="AD36" i="5"/>
  <c r="AD37" i="5" s="1"/>
  <c r="AD38" i="5" s="1"/>
  <c r="AE36" i="5"/>
  <c r="AE37" i="5" s="1"/>
  <c r="AE38" i="5" s="1"/>
  <c r="AF36" i="5"/>
  <c r="AF37" i="5" s="1"/>
  <c r="AF38" i="5" s="1"/>
  <c r="AG36" i="5"/>
  <c r="AG37" i="5" s="1"/>
  <c r="AG38" i="5" s="1"/>
  <c r="AH36" i="5"/>
  <c r="AH37" i="5" s="1"/>
  <c r="AH38" i="5" s="1"/>
  <c r="AI36" i="5"/>
  <c r="AI37" i="5" s="1"/>
  <c r="AI38" i="5" s="1"/>
  <c r="AJ36" i="5"/>
  <c r="AJ37" i="5" s="1"/>
  <c r="AJ38" i="5" s="1"/>
  <c r="AK36" i="5"/>
  <c r="AK37" i="5"/>
  <c r="AK38" i="5" s="1"/>
  <c r="AL36" i="5"/>
  <c r="AL37" i="5"/>
  <c r="AL38" i="5" s="1"/>
  <c r="AM36" i="5"/>
  <c r="AM37" i="5" s="1"/>
  <c r="AM38" i="5" s="1"/>
  <c r="AN36" i="5"/>
  <c r="AN37" i="5" s="1"/>
  <c r="AN38" i="5" s="1"/>
  <c r="AO36" i="5"/>
  <c r="AO37" i="5" s="1"/>
  <c r="AO38" i="5" s="1"/>
  <c r="AP36" i="5"/>
  <c r="AP37" i="5" s="1"/>
  <c r="AP38" i="5" s="1"/>
  <c r="AQ36" i="5"/>
  <c r="AQ37" i="5"/>
  <c r="AQ38" i="5" s="1"/>
  <c r="AR36" i="5"/>
  <c r="AR37" i="5" s="1"/>
  <c r="AR38" i="5" s="1"/>
  <c r="AS36" i="5"/>
  <c r="AS37" i="5"/>
  <c r="AS38" i="5" s="1"/>
  <c r="AT36" i="5"/>
  <c r="AT37" i="5" s="1"/>
  <c r="AT38" i="5" s="1"/>
  <c r="AU36" i="5"/>
  <c r="AU37" i="5"/>
  <c r="AU38" i="5" s="1"/>
  <c r="AV36" i="5"/>
  <c r="AV37" i="5" s="1"/>
  <c r="AV38" i="5" s="1"/>
  <c r="AW36" i="5"/>
  <c r="AW37" i="5"/>
  <c r="AW38" i="5" s="1"/>
  <c r="AX36" i="5"/>
  <c r="AX37" i="5"/>
  <c r="AX38" i="5" s="1"/>
  <c r="AY36" i="5"/>
  <c r="AY37" i="5" s="1"/>
  <c r="AY38" i="5" s="1"/>
  <c r="AZ36" i="5"/>
  <c r="AZ37" i="5" s="1"/>
  <c r="AZ38" i="5" s="1"/>
  <c r="BA36" i="5"/>
  <c r="BA37" i="5"/>
  <c r="BA38" i="5"/>
  <c r="R37" i="5"/>
  <c r="R38" i="5"/>
  <c r="E40" i="5"/>
  <c r="E41" i="5" s="1"/>
  <c r="E42" i="5" s="1"/>
  <c r="E43" i="5" s="1"/>
  <c r="E44" i="5"/>
  <c r="E45" i="5" s="1"/>
  <c r="E46" i="5" s="1"/>
  <c r="E47" i="5" s="1"/>
  <c r="E48" i="5" s="1"/>
  <c r="E49" i="5" s="1"/>
  <c r="E50" i="5" s="1"/>
  <c r="E51" i="5" s="1"/>
  <c r="E52" i="5" s="1"/>
  <c r="E53" i="5" s="1"/>
  <c r="E54" i="5" s="1"/>
  <c r="E55" i="5" s="1"/>
  <c r="E56" i="5" s="1"/>
  <c r="E57" i="5" s="1"/>
  <c r="E58" i="5" s="1"/>
  <c r="E59" i="5" s="1"/>
  <c r="E60" i="5" s="1"/>
  <c r="E61" i="5" s="1"/>
  <c r="E62" i="5" s="1"/>
  <c r="E63" i="5" s="1"/>
  <c r="E64" i="5" s="1"/>
  <c r="E65" i="5" s="1"/>
  <c r="E66" i="5" s="1"/>
  <c r="E67" i="5" s="1"/>
  <c r="E68" i="5" s="1"/>
  <c r="E69" i="5" s="1"/>
  <c r="E70" i="5" s="1"/>
  <c r="E71" i="5" s="1"/>
  <c r="E72" i="5" s="1"/>
  <c r="E73" i="5" s="1"/>
  <c r="E74" i="5" s="1"/>
  <c r="E75" i="5" s="1"/>
  <c r="E76" i="5" s="1"/>
  <c r="E77" i="5" s="1"/>
  <c r="E78" i="5" s="1"/>
  <c r="E79" i="5" s="1"/>
  <c r="E80" i="5" s="1"/>
  <c r="E81" i="5" s="1"/>
  <c r="E82" i="5" s="1"/>
  <c r="E83" i="5" s="1"/>
  <c r="E84" i="5" s="1"/>
  <c r="E85" i="5" s="1"/>
  <c r="E86" i="5" s="1"/>
  <c r="E87" i="5" s="1"/>
  <c r="E88" i="5" s="1"/>
  <c r="E89" i="5" s="1"/>
  <c r="E90" i="5" s="1"/>
  <c r="E91" i="5" s="1"/>
  <c r="E92" i="5" s="1"/>
  <c r="E93" i="5" s="1"/>
  <c r="E94" i="5" s="1"/>
  <c r="E95" i="5" s="1"/>
  <c r="E96" i="5" s="1"/>
  <c r="E97" i="5" s="1"/>
  <c r="E98" i="5" s="1"/>
  <c r="E99" i="5" s="1"/>
  <c r="E100" i="5" s="1"/>
  <c r="E101" i="5" s="1"/>
  <c r="E102" i="5" s="1"/>
  <c r="F40" i="5"/>
  <c r="F41" i="5" s="1"/>
  <c r="F42" i="5" s="1"/>
  <c r="G40" i="5"/>
  <c r="G41" i="5" s="1"/>
  <c r="G42" i="5" s="1"/>
  <c r="G43" i="5" s="1"/>
  <c r="G44" i="5" s="1"/>
  <c r="G45" i="5" s="1"/>
  <c r="G46" i="5" s="1"/>
  <c r="G47" i="5" s="1"/>
  <c r="G48" i="5" s="1"/>
  <c r="G49" i="5" s="1"/>
  <c r="G50" i="5" s="1"/>
  <c r="G51" i="5" s="1"/>
  <c r="G52" i="5" s="1"/>
  <c r="G53" i="5" s="1"/>
  <c r="G54" i="5" s="1"/>
  <c r="G55" i="5" s="1"/>
  <c r="G56" i="5" s="1"/>
  <c r="G57" i="5" s="1"/>
  <c r="G58" i="5" s="1"/>
  <c r="G59" i="5" s="1"/>
  <c r="G60" i="5" s="1"/>
  <c r="G61" i="5" s="1"/>
  <c r="G62" i="5" s="1"/>
  <c r="G63" i="5" s="1"/>
  <c r="G64" i="5" s="1"/>
  <c r="G65" i="5" s="1"/>
  <c r="G66" i="5" s="1"/>
  <c r="G67" i="5" s="1"/>
  <c r="G68" i="5" s="1"/>
  <c r="G69" i="5" s="1"/>
  <c r="G70" i="5" s="1"/>
  <c r="G71" i="5" s="1"/>
  <c r="G72" i="5" s="1"/>
  <c r="G73" i="5" s="1"/>
  <c r="G74" i="5" s="1"/>
  <c r="G75" i="5" s="1"/>
  <c r="G76" i="5" s="1"/>
  <c r="G77" i="5" s="1"/>
  <c r="G78" i="5" s="1"/>
  <c r="G79" i="5" s="1"/>
  <c r="G80" i="5" s="1"/>
  <c r="G81" i="5" s="1"/>
  <c r="G82" i="5" s="1"/>
  <c r="G83" i="5" s="1"/>
  <c r="G84" i="5" s="1"/>
  <c r="G85" i="5" s="1"/>
  <c r="G86" i="5" s="1"/>
  <c r="G87" i="5" s="1"/>
  <c r="G88" i="5" s="1"/>
  <c r="G89" i="5" s="1"/>
  <c r="G90" i="5" s="1"/>
  <c r="G91" i="5" s="1"/>
  <c r="G92" i="5" s="1"/>
  <c r="G93" i="5" s="1"/>
  <c r="G94" i="5" s="1"/>
  <c r="G95" i="5" s="1"/>
  <c r="G96" i="5" s="1"/>
  <c r="G97" i="5" s="1"/>
  <c r="G98" i="5" s="1"/>
  <c r="G99" i="5" s="1"/>
  <c r="G100" i="5" s="1"/>
  <c r="G101" i="5" s="1"/>
  <c r="G102" i="5" s="1"/>
  <c r="H40" i="5"/>
  <c r="H41" i="5" s="1"/>
  <c r="H42" i="5" s="1"/>
  <c r="H43" i="5" s="1"/>
  <c r="H44" i="5"/>
  <c r="H45" i="5" s="1"/>
  <c r="H46" i="5" s="1"/>
  <c r="H47" i="5" s="1"/>
  <c r="H48" i="5" s="1"/>
  <c r="H49" i="5" s="1"/>
  <c r="H50" i="5" s="1"/>
  <c r="H51" i="5" s="1"/>
  <c r="H52" i="5" s="1"/>
  <c r="H53" i="5" s="1"/>
  <c r="H54" i="5" s="1"/>
  <c r="H55" i="5" s="1"/>
  <c r="H56" i="5" s="1"/>
  <c r="H57" i="5" s="1"/>
  <c r="H58" i="5" s="1"/>
  <c r="H59" i="5" s="1"/>
  <c r="H60" i="5" s="1"/>
  <c r="H61" i="5" s="1"/>
  <c r="H62" i="5" s="1"/>
  <c r="H63" i="5" s="1"/>
  <c r="H64" i="5" s="1"/>
  <c r="H65" i="5" s="1"/>
  <c r="H66" i="5" s="1"/>
  <c r="H67" i="5" s="1"/>
  <c r="H68" i="5" s="1"/>
  <c r="H69" i="5" s="1"/>
  <c r="H70" i="5" s="1"/>
  <c r="H71" i="5" s="1"/>
  <c r="H72" i="5" s="1"/>
  <c r="H73" i="5" s="1"/>
  <c r="H74" i="5" s="1"/>
  <c r="H75" i="5" s="1"/>
  <c r="H76" i="5" s="1"/>
  <c r="H77" i="5" s="1"/>
  <c r="H78" i="5" s="1"/>
  <c r="H79" i="5" s="1"/>
  <c r="H80" i="5" s="1"/>
  <c r="H81" i="5" s="1"/>
  <c r="H82" i="5" s="1"/>
  <c r="H83" i="5" s="1"/>
  <c r="H84" i="5" s="1"/>
  <c r="H85" i="5" s="1"/>
  <c r="H86" i="5" s="1"/>
  <c r="H87" i="5" s="1"/>
  <c r="H88" i="5" s="1"/>
  <c r="H89" i="5" s="1"/>
  <c r="H90" i="5" s="1"/>
  <c r="H91" i="5" s="1"/>
  <c r="H92" i="5" s="1"/>
  <c r="H93" i="5" s="1"/>
  <c r="H94" i="5" s="1"/>
  <c r="H95" i="5" s="1"/>
  <c r="H96" i="5" s="1"/>
  <c r="H97" i="5" s="1"/>
  <c r="H98" i="5" s="1"/>
  <c r="H99" i="5" s="1"/>
  <c r="H100" i="5" s="1"/>
  <c r="H101" i="5" s="1"/>
  <c r="H102" i="5" s="1"/>
  <c r="I40" i="5"/>
  <c r="J40" i="5"/>
  <c r="J41" i="5" s="1"/>
  <c r="J42" i="5" s="1"/>
  <c r="J43" i="5" s="1"/>
  <c r="J44" i="5" s="1"/>
  <c r="J45" i="5" s="1"/>
  <c r="J46" i="5"/>
  <c r="J47" i="5" s="1"/>
  <c r="J48" i="5" s="1"/>
  <c r="J49" i="5" s="1"/>
  <c r="J50" i="5" s="1"/>
  <c r="J51" i="5" s="1"/>
  <c r="J52" i="5" s="1"/>
  <c r="J53" i="5" s="1"/>
  <c r="J54" i="5" s="1"/>
  <c r="J55" i="5" s="1"/>
  <c r="J56" i="5" s="1"/>
  <c r="J57" i="5" s="1"/>
  <c r="J58" i="5" s="1"/>
  <c r="J59" i="5" s="1"/>
  <c r="J60" i="5" s="1"/>
  <c r="J61" i="5" s="1"/>
  <c r="J62" i="5" s="1"/>
  <c r="J63" i="5" s="1"/>
  <c r="J64" i="5" s="1"/>
  <c r="J65" i="5" s="1"/>
  <c r="J66" i="5" s="1"/>
  <c r="J67" i="5" s="1"/>
  <c r="J68" i="5" s="1"/>
  <c r="J69" i="5" s="1"/>
  <c r="J70" i="5" s="1"/>
  <c r="J71" i="5" s="1"/>
  <c r="J72" i="5" s="1"/>
  <c r="J73" i="5" s="1"/>
  <c r="J74" i="5" s="1"/>
  <c r="J75" i="5" s="1"/>
  <c r="J76" i="5" s="1"/>
  <c r="J77" i="5" s="1"/>
  <c r="J78" i="5" s="1"/>
  <c r="J79" i="5" s="1"/>
  <c r="J80" i="5" s="1"/>
  <c r="J81" i="5" s="1"/>
  <c r="J82" i="5" s="1"/>
  <c r="J83" i="5" s="1"/>
  <c r="J84" i="5" s="1"/>
  <c r="J85" i="5" s="1"/>
  <c r="J86" i="5" s="1"/>
  <c r="J87" i="5" s="1"/>
  <c r="J88" i="5" s="1"/>
  <c r="J89" i="5" s="1"/>
  <c r="J90" i="5" s="1"/>
  <c r="J91" i="5" s="1"/>
  <c r="J92" i="5" s="1"/>
  <c r="J93" i="5" s="1"/>
  <c r="J94" i="5" s="1"/>
  <c r="J95" i="5" s="1"/>
  <c r="J96" i="5" s="1"/>
  <c r="J97" i="5" s="1"/>
  <c r="J98" i="5" s="1"/>
  <c r="J99" i="5" s="1"/>
  <c r="J100" i="5" s="1"/>
  <c r="J101" i="5" s="1"/>
  <c r="J102" i="5" s="1"/>
  <c r="K40" i="5"/>
  <c r="K41" i="5" s="1"/>
  <c r="K42" i="5" s="1"/>
  <c r="K43" i="5" s="1"/>
  <c r="K44" i="5"/>
  <c r="K45" i="5" s="1"/>
  <c r="K46" i="5" s="1"/>
  <c r="K47" i="5" s="1"/>
  <c r="K48" i="5" s="1"/>
  <c r="K49" i="5" s="1"/>
  <c r="K50" i="5" s="1"/>
  <c r="K51" i="5" s="1"/>
  <c r="K52" i="5" s="1"/>
  <c r="K53" i="5" s="1"/>
  <c r="K54" i="5" s="1"/>
  <c r="K55" i="5" s="1"/>
  <c r="K56" i="5" s="1"/>
  <c r="K57" i="5" s="1"/>
  <c r="K58" i="5" s="1"/>
  <c r="K59" i="5" s="1"/>
  <c r="K60" i="5" s="1"/>
  <c r="K61" i="5" s="1"/>
  <c r="K62" i="5" s="1"/>
  <c r="K63" i="5" s="1"/>
  <c r="K64" i="5" s="1"/>
  <c r="K65" i="5" s="1"/>
  <c r="K66" i="5" s="1"/>
  <c r="K67" i="5" s="1"/>
  <c r="K68" i="5" s="1"/>
  <c r="K69" i="5" s="1"/>
  <c r="K70" i="5" s="1"/>
  <c r="K71" i="5" s="1"/>
  <c r="K72" i="5" s="1"/>
  <c r="K73" i="5" s="1"/>
  <c r="K74" i="5" s="1"/>
  <c r="K75" i="5" s="1"/>
  <c r="K76" i="5" s="1"/>
  <c r="K77" i="5" s="1"/>
  <c r="K78" i="5" s="1"/>
  <c r="K79" i="5" s="1"/>
  <c r="K80" i="5" s="1"/>
  <c r="K81" i="5" s="1"/>
  <c r="K82" i="5" s="1"/>
  <c r="K83" i="5" s="1"/>
  <c r="K84" i="5" s="1"/>
  <c r="K85" i="5" s="1"/>
  <c r="K86" i="5" s="1"/>
  <c r="K87" i="5" s="1"/>
  <c r="K88" i="5" s="1"/>
  <c r="K89" i="5" s="1"/>
  <c r="K90" i="5" s="1"/>
  <c r="K91" i="5" s="1"/>
  <c r="K92" i="5" s="1"/>
  <c r="K93" i="5" s="1"/>
  <c r="K94" i="5" s="1"/>
  <c r="K95" i="5" s="1"/>
  <c r="K96" i="5" s="1"/>
  <c r="K97" i="5" s="1"/>
  <c r="K98" i="5" s="1"/>
  <c r="K99" i="5" s="1"/>
  <c r="K100" i="5" s="1"/>
  <c r="K101" i="5" s="1"/>
  <c r="K102" i="5" s="1"/>
  <c r="L40" i="5"/>
  <c r="L41" i="5" s="1"/>
  <c r="L42" i="5" s="1"/>
  <c r="L43" i="5" s="1"/>
  <c r="L44" i="5" s="1"/>
  <c r="L45" i="5" s="1"/>
  <c r="L46" i="5" s="1"/>
  <c r="L47" i="5" s="1"/>
  <c r="L48" i="5" s="1"/>
  <c r="L49" i="5" s="1"/>
  <c r="L50" i="5" s="1"/>
  <c r="L51" i="5" s="1"/>
  <c r="L52" i="5" s="1"/>
  <c r="L53" i="5" s="1"/>
  <c r="L54" i="5" s="1"/>
  <c r="L55" i="5" s="1"/>
  <c r="L56" i="5" s="1"/>
  <c r="L57" i="5" s="1"/>
  <c r="L58" i="5" s="1"/>
  <c r="L59" i="5" s="1"/>
  <c r="L60" i="5" s="1"/>
  <c r="L61" i="5" s="1"/>
  <c r="L62" i="5" s="1"/>
  <c r="L63" i="5" s="1"/>
  <c r="L64" i="5" s="1"/>
  <c r="L65" i="5" s="1"/>
  <c r="L66" i="5" s="1"/>
  <c r="L67" i="5" s="1"/>
  <c r="L68" i="5" s="1"/>
  <c r="L69" i="5" s="1"/>
  <c r="L70" i="5" s="1"/>
  <c r="L71" i="5" s="1"/>
  <c r="L72" i="5" s="1"/>
  <c r="L73" i="5" s="1"/>
  <c r="L74" i="5" s="1"/>
  <c r="L75" i="5" s="1"/>
  <c r="L76" i="5" s="1"/>
  <c r="L77" i="5" s="1"/>
  <c r="L78" i="5" s="1"/>
  <c r="L79" i="5" s="1"/>
  <c r="L80" i="5" s="1"/>
  <c r="L81" i="5" s="1"/>
  <c r="L82" i="5" s="1"/>
  <c r="L83" i="5" s="1"/>
  <c r="L84" i="5" s="1"/>
  <c r="L85" i="5" s="1"/>
  <c r="L86" i="5" s="1"/>
  <c r="L87" i="5" s="1"/>
  <c r="L88" i="5" s="1"/>
  <c r="L89" i="5" s="1"/>
  <c r="L90" i="5" s="1"/>
  <c r="L91" i="5" s="1"/>
  <c r="L92" i="5" s="1"/>
  <c r="L93" i="5" s="1"/>
  <c r="L94" i="5" s="1"/>
  <c r="L95" i="5" s="1"/>
  <c r="L96" i="5" s="1"/>
  <c r="L97" i="5" s="1"/>
  <c r="L98" i="5" s="1"/>
  <c r="L99" i="5" s="1"/>
  <c r="L100" i="5" s="1"/>
  <c r="L101" i="5" s="1"/>
  <c r="L102" i="5" s="1"/>
  <c r="M40" i="5"/>
  <c r="M41" i="5"/>
  <c r="M42" i="5" s="1"/>
  <c r="M43" i="5" s="1"/>
  <c r="M44" i="5" s="1"/>
  <c r="M45" i="5" s="1"/>
  <c r="M46" i="5" s="1"/>
  <c r="M47" i="5" s="1"/>
  <c r="M48" i="5" s="1"/>
  <c r="M49" i="5" s="1"/>
  <c r="M50" i="5" s="1"/>
  <c r="M51" i="5" s="1"/>
  <c r="M52" i="5" s="1"/>
  <c r="M53" i="5" s="1"/>
  <c r="M54" i="5" s="1"/>
  <c r="M55" i="5" s="1"/>
  <c r="M56" i="5" s="1"/>
  <c r="M57" i="5" s="1"/>
  <c r="M58" i="5" s="1"/>
  <c r="M59" i="5" s="1"/>
  <c r="M60" i="5" s="1"/>
  <c r="M61" i="5" s="1"/>
  <c r="M62" i="5" s="1"/>
  <c r="M63" i="5" s="1"/>
  <c r="M64" i="5" s="1"/>
  <c r="M65" i="5" s="1"/>
  <c r="M66" i="5" s="1"/>
  <c r="M67" i="5" s="1"/>
  <c r="M68" i="5" s="1"/>
  <c r="M69" i="5" s="1"/>
  <c r="M70" i="5" s="1"/>
  <c r="M71" i="5" s="1"/>
  <c r="M72" i="5" s="1"/>
  <c r="M73" i="5" s="1"/>
  <c r="M74" i="5" s="1"/>
  <c r="M75" i="5" s="1"/>
  <c r="M76" i="5" s="1"/>
  <c r="M77" i="5" s="1"/>
  <c r="M78" i="5" s="1"/>
  <c r="M79" i="5" s="1"/>
  <c r="M80" i="5" s="1"/>
  <c r="M81" i="5" s="1"/>
  <c r="M82" i="5" s="1"/>
  <c r="M83" i="5" s="1"/>
  <c r="M84" i="5" s="1"/>
  <c r="M85" i="5" s="1"/>
  <c r="M86" i="5" s="1"/>
  <c r="M87" i="5" s="1"/>
  <c r="M88" i="5" s="1"/>
  <c r="M89" i="5" s="1"/>
  <c r="M90" i="5" s="1"/>
  <c r="M91" i="5" s="1"/>
  <c r="M92" i="5" s="1"/>
  <c r="M93" i="5" s="1"/>
  <c r="M94" i="5" s="1"/>
  <c r="M95" i="5" s="1"/>
  <c r="M96" i="5" s="1"/>
  <c r="M97" i="5" s="1"/>
  <c r="M98" i="5" s="1"/>
  <c r="M99" i="5" s="1"/>
  <c r="M100" i="5" s="1"/>
  <c r="M101" i="5" s="1"/>
  <c r="M102" i="5" s="1"/>
  <c r="N40" i="5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N72" i="5" s="1"/>
  <c r="N73" i="5" s="1"/>
  <c r="N74" i="5" s="1"/>
  <c r="N75" i="5" s="1"/>
  <c r="N76" i="5" s="1"/>
  <c r="N77" i="5" s="1"/>
  <c r="N78" i="5" s="1"/>
  <c r="N79" i="5" s="1"/>
  <c r="N80" i="5" s="1"/>
  <c r="N81" i="5" s="1"/>
  <c r="N82" i="5" s="1"/>
  <c r="N83" i="5" s="1"/>
  <c r="N84" i="5" s="1"/>
  <c r="N85" i="5" s="1"/>
  <c r="N86" i="5" s="1"/>
  <c r="N87" i="5" s="1"/>
  <c r="N88" i="5" s="1"/>
  <c r="N89" i="5" s="1"/>
  <c r="N90" i="5" s="1"/>
  <c r="N91" i="5" s="1"/>
  <c r="N92" i="5" s="1"/>
  <c r="N93" i="5" s="1"/>
  <c r="N94" i="5" s="1"/>
  <c r="N95" i="5" s="1"/>
  <c r="N96" i="5" s="1"/>
  <c r="N97" i="5" s="1"/>
  <c r="N98" i="5" s="1"/>
  <c r="N99" i="5" s="1"/>
  <c r="N100" i="5" s="1"/>
  <c r="N101" i="5" s="1"/>
  <c r="N102" i="5" s="1"/>
  <c r="O40" i="5"/>
  <c r="O41" i="5" s="1"/>
  <c r="O42" i="5" s="1"/>
  <c r="O43" i="5" s="1"/>
  <c r="O44" i="5" s="1"/>
  <c r="O45" i="5" s="1"/>
  <c r="O46" i="5" s="1"/>
  <c r="O47" i="5" s="1"/>
  <c r="O48" i="5" s="1"/>
  <c r="O49" i="5" s="1"/>
  <c r="O50" i="5" s="1"/>
  <c r="O51" i="5" s="1"/>
  <c r="O52" i="5" s="1"/>
  <c r="O53" i="5" s="1"/>
  <c r="O54" i="5" s="1"/>
  <c r="O55" i="5" s="1"/>
  <c r="O56" i="5" s="1"/>
  <c r="O57" i="5" s="1"/>
  <c r="O58" i="5" s="1"/>
  <c r="O59" i="5" s="1"/>
  <c r="O60" i="5" s="1"/>
  <c r="O61" i="5" s="1"/>
  <c r="O62" i="5" s="1"/>
  <c r="O63" i="5" s="1"/>
  <c r="O64" i="5" s="1"/>
  <c r="O65" i="5" s="1"/>
  <c r="O66" i="5" s="1"/>
  <c r="O67" i="5" s="1"/>
  <c r="O68" i="5" s="1"/>
  <c r="O69" i="5" s="1"/>
  <c r="O70" i="5" s="1"/>
  <c r="O71" i="5" s="1"/>
  <c r="O72" i="5" s="1"/>
  <c r="O73" i="5" s="1"/>
  <c r="O74" i="5" s="1"/>
  <c r="O75" i="5" s="1"/>
  <c r="O76" i="5" s="1"/>
  <c r="O77" i="5" s="1"/>
  <c r="O78" i="5" s="1"/>
  <c r="O79" i="5" s="1"/>
  <c r="O80" i="5" s="1"/>
  <c r="O81" i="5" s="1"/>
  <c r="O82" i="5" s="1"/>
  <c r="O83" i="5" s="1"/>
  <c r="O84" i="5" s="1"/>
  <c r="O85" i="5" s="1"/>
  <c r="O86" i="5" s="1"/>
  <c r="O87" i="5" s="1"/>
  <c r="O88" i="5" s="1"/>
  <c r="O89" i="5" s="1"/>
  <c r="O90" i="5" s="1"/>
  <c r="O91" i="5" s="1"/>
  <c r="O92" i="5" s="1"/>
  <c r="O93" i="5" s="1"/>
  <c r="O94" i="5" s="1"/>
  <c r="O95" i="5" s="1"/>
  <c r="O96" i="5" s="1"/>
  <c r="O97" i="5" s="1"/>
  <c r="O98" i="5" s="1"/>
  <c r="O99" i="5" s="1"/>
  <c r="O100" i="5" s="1"/>
  <c r="O101" i="5" s="1"/>
  <c r="O102" i="5" s="1"/>
  <c r="P40" i="5"/>
  <c r="P41" i="5" s="1"/>
  <c r="P42" i="5" s="1"/>
  <c r="P43" i="5" s="1"/>
  <c r="P44" i="5" s="1"/>
  <c r="P45" i="5" s="1"/>
  <c r="P46" i="5" s="1"/>
  <c r="P47" i="5" s="1"/>
  <c r="P48" i="5" s="1"/>
  <c r="P49" i="5" s="1"/>
  <c r="P50" i="5" s="1"/>
  <c r="P51" i="5" s="1"/>
  <c r="P52" i="5" s="1"/>
  <c r="P53" i="5" s="1"/>
  <c r="P54" i="5" s="1"/>
  <c r="P55" i="5" s="1"/>
  <c r="P56" i="5" s="1"/>
  <c r="P57" i="5" s="1"/>
  <c r="P58" i="5" s="1"/>
  <c r="P59" i="5" s="1"/>
  <c r="P60" i="5" s="1"/>
  <c r="P61" i="5" s="1"/>
  <c r="P62" i="5" s="1"/>
  <c r="P63" i="5" s="1"/>
  <c r="P64" i="5" s="1"/>
  <c r="P65" i="5" s="1"/>
  <c r="P66" i="5" s="1"/>
  <c r="P67" i="5" s="1"/>
  <c r="P68" i="5" s="1"/>
  <c r="P69" i="5" s="1"/>
  <c r="P70" i="5" s="1"/>
  <c r="P71" i="5" s="1"/>
  <c r="P72" i="5" s="1"/>
  <c r="P73" i="5" s="1"/>
  <c r="P74" i="5" s="1"/>
  <c r="P75" i="5" s="1"/>
  <c r="P76" i="5" s="1"/>
  <c r="P77" i="5" s="1"/>
  <c r="P78" i="5" s="1"/>
  <c r="P79" i="5" s="1"/>
  <c r="P80" i="5" s="1"/>
  <c r="P81" i="5" s="1"/>
  <c r="P82" i="5" s="1"/>
  <c r="P83" i="5" s="1"/>
  <c r="P84" i="5" s="1"/>
  <c r="P85" i="5" s="1"/>
  <c r="P86" i="5" s="1"/>
  <c r="P87" i="5" s="1"/>
  <c r="P88" i="5" s="1"/>
  <c r="P89" i="5" s="1"/>
  <c r="P90" i="5" s="1"/>
  <c r="P91" i="5" s="1"/>
  <c r="P92" i="5" s="1"/>
  <c r="P93" i="5" s="1"/>
  <c r="P94" i="5" s="1"/>
  <c r="P95" i="5" s="1"/>
  <c r="P96" i="5" s="1"/>
  <c r="P97" i="5" s="1"/>
  <c r="P98" i="5" s="1"/>
  <c r="P99" i="5" s="1"/>
  <c r="P100" i="5" s="1"/>
  <c r="P101" i="5" s="1"/>
  <c r="P102" i="5" s="1"/>
  <c r="Q40" i="5"/>
  <c r="Q41" i="5" s="1"/>
  <c r="Q42" i="5" s="1"/>
  <c r="Q43" i="5" s="1"/>
  <c r="Q44" i="5" s="1"/>
  <c r="Q45" i="5" s="1"/>
  <c r="Q46" i="5" s="1"/>
  <c r="Q47" i="5" s="1"/>
  <c r="Q48" i="5" s="1"/>
  <c r="Q49" i="5" s="1"/>
  <c r="Q50" i="5" s="1"/>
  <c r="Q51" i="5" s="1"/>
  <c r="Q52" i="5" s="1"/>
  <c r="Q53" i="5" s="1"/>
  <c r="Q54" i="5" s="1"/>
  <c r="Q55" i="5" s="1"/>
  <c r="Q56" i="5" s="1"/>
  <c r="Q57" i="5" s="1"/>
  <c r="Q58" i="5" s="1"/>
  <c r="Q59" i="5" s="1"/>
  <c r="Q60" i="5" s="1"/>
  <c r="Q61" i="5" s="1"/>
  <c r="Q62" i="5" s="1"/>
  <c r="Q63" i="5" s="1"/>
  <c r="Q64" i="5" s="1"/>
  <c r="Q65" i="5" s="1"/>
  <c r="Q66" i="5" s="1"/>
  <c r="Q67" i="5" s="1"/>
  <c r="Q68" i="5" s="1"/>
  <c r="Q69" i="5" s="1"/>
  <c r="Q70" i="5" s="1"/>
  <c r="Q71" i="5" s="1"/>
  <c r="Q72" i="5" s="1"/>
  <c r="Q73" i="5" s="1"/>
  <c r="Q74" i="5" s="1"/>
  <c r="Q75" i="5" s="1"/>
  <c r="Q76" i="5" s="1"/>
  <c r="Q77" i="5" s="1"/>
  <c r="Q78" i="5" s="1"/>
  <c r="Q79" i="5" s="1"/>
  <c r="Q80" i="5" s="1"/>
  <c r="Q81" i="5" s="1"/>
  <c r="Q82" i="5" s="1"/>
  <c r="Q83" i="5" s="1"/>
  <c r="Q84" i="5" s="1"/>
  <c r="Q85" i="5" s="1"/>
  <c r="Q86" i="5" s="1"/>
  <c r="Q87" i="5" s="1"/>
  <c r="Q88" i="5" s="1"/>
  <c r="Q89" i="5" s="1"/>
  <c r="Q90" i="5" s="1"/>
  <c r="Q91" i="5" s="1"/>
  <c r="Q92" i="5" s="1"/>
  <c r="Q93" i="5" s="1"/>
  <c r="Q94" i="5" s="1"/>
  <c r="Q95" i="5" s="1"/>
  <c r="Q96" i="5" s="1"/>
  <c r="Q97" i="5" s="1"/>
  <c r="Q98" i="5" s="1"/>
  <c r="Q99" i="5" s="1"/>
  <c r="Q100" i="5" s="1"/>
  <c r="Q101" i="5" s="1"/>
  <c r="Q102" i="5" s="1"/>
  <c r="R40" i="5"/>
  <c r="R41" i="5" s="1"/>
  <c r="R42" i="5" s="1"/>
  <c r="R43" i="5" s="1"/>
  <c r="R44" i="5" s="1"/>
  <c r="R45" i="5" s="1"/>
  <c r="R46" i="5" s="1"/>
  <c r="R47" i="5" s="1"/>
  <c r="R48" i="5" s="1"/>
  <c r="R49" i="5" s="1"/>
  <c r="R50" i="5" s="1"/>
  <c r="R51" i="5" s="1"/>
  <c r="R52" i="5" s="1"/>
  <c r="R53" i="5" s="1"/>
  <c r="R54" i="5" s="1"/>
  <c r="R55" i="5" s="1"/>
  <c r="R56" i="5" s="1"/>
  <c r="R57" i="5" s="1"/>
  <c r="R58" i="5" s="1"/>
  <c r="R59" i="5" s="1"/>
  <c r="R60" i="5" s="1"/>
  <c r="R61" i="5" s="1"/>
  <c r="R62" i="5" s="1"/>
  <c r="R63" i="5" s="1"/>
  <c r="R64" i="5" s="1"/>
  <c r="R65" i="5" s="1"/>
  <c r="R66" i="5" s="1"/>
  <c r="R67" i="5" s="1"/>
  <c r="R68" i="5" s="1"/>
  <c r="R69" i="5" s="1"/>
  <c r="R70" i="5" s="1"/>
  <c r="R71" i="5" s="1"/>
  <c r="R72" i="5" s="1"/>
  <c r="R73" i="5" s="1"/>
  <c r="R74" i="5" s="1"/>
  <c r="R75" i="5" s="1"/>
  <c r="R76" i="5" s="1"/>
  <c r="R77" i="5" s="1"/>
  <c r="R78" i="5" s="1"/>
  <c r="R79" i="5" s="1"/>
  <c r="R80" i="5" s="1"/>
  <c r="R81" i="5" s="1"/>
  <c r="R82" i="5" s="1"/>
  <c r="R83" i="5" s="1"/>
  <c r="R84" i="5" s="1"/>
  <c r="R85" i="5" s="1"/>
  <c r="R86" i="5" s="1"/>
  <c r="R87" i="5" s="1"/>
  <c r="R88" i="5" s="1"/>
  <c r="R89" i="5" s="1"/>
  <c r="R90" i="5" s="1"/>
  <c r="R91" i="5" s="1"/>
  <c r="R92" i="5" s="1"/>
  <c r="R93" i="5" s="1"/>
  <c r="R94" i="5" s="1"/>
  <c r="R95" i="5" s="1"/>
  <c r="R96" i="5" s="1"/>
  <c r="R97" i="5" s="1"/>
  <c r="R98" i="5" s="1"/>
  <c r="R99" i="5" s="1"/>
  <c r="R100" i="5" s="1"/>
  <c r="R101" i="5" s="1"/>
  <c r="R102" i="5" s="1"/>
  <c r="S40" i="5"/>
  <c r="S41" i="5" s="1"/>
  <c r="S42" i="5" s="1"/>
  <c r="S43" i="5" s="1"/>
  <c r="S44" i="5" s="1"/>
  <c r="S45" i="5" s="1"/>
  <c r="S46" i="5" s="1"/>
  <c r="S47" i="5" s="1"/>
  <c r="S48" i="5" s="1"/>
  <c r="S49" i="5" s="1"/>
  <c r="S50" i="5" s="1"/>
  <c r="S51" i="5" s="1"/>
  <c r="S52" i="5" s="1"/>
  <c r="S53" i="5" s="1"/>
  <c r="S54" i="5" s="1"/>
  <c r="S55" i="5" s="1"/>
  <c r="S56" i="5" s="1"/>
  <c r="S57" i="5" s="1"/>
  <c r="S58" i="5" s="1"/>
  <c r="S59" i="5" s="1"/>
  <c r="S60" i="5" s="1"/>
  <c r="S61" i="5" s="1"/>
  <c r="S62" i="5" s="1"/>
  <c r="S63" i="5" s="1"/>
  <c r="S64" i="5" s="1"/>
  <c r="S65" i="5" s="1"/>
  <c r="S66" i="5" s="1"/>
  <c r="S67" i="5" s="1"/>
  <c r="S68" i="5" s="1"/>
  <c r="S69" i="5" s="1"/>
  <c r="S70" i="5" s="1"/>
  <c r="S71" i="5" s="1"/>
  <c r="S72" i="5" s="1"/>
  <c r="S73" i="5" s="1"/>
  <c r="S74" i="5" s="1"/>
  <c r="S75" i="5" s="1"/>
  <c r="S76" i="5" s="1"/>
  <c r="S77" i="5" s="1"/>
  <c r="S78" i="5" s="1"/>
  <c r="S79" i="5" s="1"/>
  <c r="S80" i="5" s="1"/>
  <c r="S81" i="5" s="1"/>
  <c r="S82" i="5" s="1"/>
  <c r="S83" i="5" s="1"/>
  <c r="S84" i="5" s="1"/>
  <c r="S85" i="5" s="1"/>
  <c r="S86" i="5" s="1"/>
  <c r="S87" i="5" s="1"/>
  <c r="S88" i="5" s="1"/>
  <c r="S89" i="5" s="1"/>
  <c r="S90" i="5" s="1"/>
  <c r="S91" i="5" s="1"/>
  <c r="S92" i="5" s="1"/>
  <c r="S93" i="5" s="1"/>
  <c r="S94" i="5" s="1"/>
  <c r="S95" i="5" s="1"/>
  <c r="S96" i="5" s="1"/>
  <c r="S97" i="5" s="1"/>
  <c r="S98" i="5" s="1"/>
  <c r="S99" i="5" s="1"/>
  <c r="S100" i="5" s="1"/>
  <c r="S101" i="5" s="1"/>
  <c r="S102" i="5" s="1"/>
  <c r="T40" i="5"/>
  <c r="T41" i="5" s="1"/>
  <c r="T42" i="5" s="1"/>
  <c r="T43" i="5" s="1"/>
  <c r="U40" i="5"/>
  <c r="U41" i="5"/>
  <c r="U42" i="5" s="1"/>
  <c r="U43" i="5" s="1"/>
  <c r="V40" i="5"/>
  <c r="V41" i="5"/>
  <c r="V42" i="5" s="1"/>
  <c r="V43" i="5" s="1"/>
  <c r="W40" i="5"/>
  <c r="W41" i="5" s="1"/>
  <c r="W42" i="5"/>
  <c r="W43" i="5" s="1"/>
  <c r="X40" i="5"/>
  <c r="X41" i="5"/>
  <c r="X42" i="5" s="1"/>
  <c r="X43" i="5" s="1"/>
  <c r="Y40" i="5"/>
  <c r="Y41" i="5" s="1"/>
  <c r="Y42" i="5"/>
  <c r="Y43" i="5" s="1"/>
  <c r="Z40" i="5"/>
  <c r="Z41" i="5" s="1"/>
  <c r="Z42" i="5" s="1"/>
  <c r="Z43" i="5" s="1"/>
  <c r="AA40" i="5"/>
  <c r="AA41" i="5" s="1"/>
  <c r="AA42" i="5" s="1"/>
  <c r="AA43" i="5" s="1"/>
  <c r="AB40" i="5"/>
  <c r="AB41" i="5" s="1"/>
  <c r="AC40" i="5"/>
  <c r="AC41" i="5" s="1"/>
  <c r="AC42" i="5" s="1"/>
  <c r="AC43" i="5" s="1"/>
  <c r="AD40" i="5"/>
  <c r="AD41" i="5" s="1"/>
  <c r="AE40" i="5"/>
  <c r="AE41" i="5" s="1"/>
  <c r="AE42" i="5" s="1"/>
  <c r="AE43" i="5" s="1"/>
  <c r="AF40" i="5"/>
  <c r="AF41" i="5" s="1"/>
  <c r="AF42" i="5" s="1"/>
  <c r="AF43" i="5" s="1"/>
  <c r="AG40" i="5"/>
  <c r="AG41" i="5" s="1"/>
  <c r="AG42" i="5" s="1"/>
  <c r="AG43" i="5" s="1"/>
  <c r="AH40" i="5"/>
  <c r="AH41" i="5" s="1"/>
  <c r="AH42" i="5" s="1"/>
  <c r="AH43" i="5" s="1"/>
  <c r="AI40" i="5"/>
  <c r="AJ40" i="5"/>
  <c r="AJ41" i="5"/>
  <c r="AJ42" i="5" s="1"/>
  <c r="AJ43" i="5" s="1"/>
  <c r="AK40" i="5"/>
  <c r="AK41" i="5" s="1"/>
  <c r="AK42" i="5" s="1"/>
  <c r="AK43" i="5" s="1"/>
  <c r="AL40" i="5"/>
  <c r="AL41" i="5"/>
  <c r="AL42" i="5" s="1"/>
  <c r="AL43" i="5" s="1"/>
  <c r="AM40" i="5"/>
  <c r="AM41" i="5" s="1"/>
  <c r="AM42" i="5" s="1"/>
  <c r="AM43" i="5" s="1"/>
  <c r="AN40" i="5"/>
  <c r="AN41" i="5" s="1"/>
  <c r="AN42" i="5" s="1"/>
  <c r="AN43" i="5" s="1"/>
  <c r="AO40" i="5"/>
  <c r="AO41" i="5"/>
  <c r="AO42" i="5" s="1"/>
  <c r="AO43" i="5" s="1"/>
  <c r="AP40" i="5"/>
  <c r="AP41" i="5" s="1"/>
  <c r="AP42" i="5" s="1"/>
  <c r="AP43" i="5" s="1"/>
  <c r="AQ40" i="5"/>
  <c r="AQ41" i="5" s="1"/>
  <c r="AQ42" i="5" s="1"/>
  <c r="AQ43" i="5" s="1"/>
  <c r="AR40" i="5"/>
  <c r="AR41" i="5"/>
  <c r="AR42" i="5" s="1"/>
  <c r="AR43" i="5" s="1"/>
  <c r="AS40" i="5"/>
  <c r="AS41" i="5"/>
  <c r="AS42" i="5" s="1"/>
  <c r="AS43" i="5" s="1"/>
  <c r="AT40" i="5"/>
  <c r="AT41" i="5"/>
  <c r="AT42" i="5" s="1"/>
  <c r="AT43" i="5" s="1"/>
  <c r="AU40" i="5"/>
  <c r="AU41" i="5" s="1"/>
  <c r="AU42" i="5" s="1"/>
  <c r="AU43" i="5" s="1"/>
  <c r="AV40" i="5"/>
  <c r="AV41" i="5"/>
  <c r="AV42" i="5" s="1"/>
  <c r="AV43" i="5" s="1"/>
  <c r="AW40" i="5"/>
  <c r="AW41" i="5"/>
  <c r="AW42" i="5" s="1"/>
  <c r="AW43" i="5" s="1"/>
  <c r="AX40" i="5"/>
  <c r="AX41" i="5" s="1"/>
  <c r="AX42" i="5" s="1"/>
  <c r="AX43" i="5" s="1"/>
  <c r="AY40" i="5"/>
  <c r="AY41" i="5"/>
  <c r="AY42" i="5" s="1"/>
  <c r="AY43" i="5" s="1"/>
  <c r="AZ40" i="5"/>
  <c r="AZ41" i="5" s="1"/>
  <c r="AZ42" i="5"/>
  <c r="AZ43" i="5" s="1"/>
  <c r="BA40" i="5"/>
  <c r="BA41" i="5" s="1"/>
  <c r="BA42" i="5" s="1"/>
  <c r="BA43" i="5" s="1"/>
  <c r="BB40" i="5"/>
  <c r="BB41" i="5" s="1"/>
  <c r="BB42" i="5" s="1"/>
  <c r="BB43" i="5" s="1"/>
  <c r="BC40" i="5"/>
  <c r="BC41" i="5" s="1"/>
  <c r="BC42" i="5" s="1"/>
  <c r="BC43" i="5" s="1"/>
  <c r="F43" i="5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69" i="5" s="1"/>
  <c r="F70" i="5" s="1"/>
  <c r="F71" i="5" s="1"/>
  <c r="F72" i="5" s="1"/>
  <c r="F73" i="5" s="1"/>
  <c r="F74" i="5" s="1"/>
  <c r="F75" i="5" s="1"/>
  <c r="F76" i="5" s="1"/>
  <c r="F77" i="5" s="1"/>
  <c r="F78" i="5" s="1"/>
  <c r="F79" i="5" s="1"/>
  <c r="F80" i="5" s="1"/>
  <c r="F81" i="5" s="1"/>
  <c r="F82" i="5" s="1"/>
  <c r="F83" i="5" s="1"/>
  <c r="F84" i="5" s="1"/>
  <c r="F85" i="5" s="1"/>
  <c r="F86" i="5" s="1"/>
  <c r="F87" i="5" s="1"/>
  <c r="F88" i="5" s="1"/>
  <c r="F89" i="5" s="1"/>
  <c r="F90" i="5" s="1"/>
  <c r="F91" i="5" s="1"/>
  <c r="F92" i="5" s="1"/>
  <c r="F93" i="5" s="1"/>
  <c r="F94" i="5" s="1"/>
  <c r="F95" i="5" s="1"/>
  <c r="F96" i="5" s="1"/>
  <c r="F97" i="5" s="1"/>
  <c r="F98" i="5" s="1"/>
  <c r="F99" i="5" s="1"/>
  <c r="F100" i="5" s="1"/>
  <c r="F101" i="5" s="1"/>
  <c r="F102" i="5" s="1"/>
  <c r="I41" i="5"/>
  <c r="I42" i="5" s="1"/>
  <c r="I43" i="5" s="1"/>
  <c r="I44" i="5" s="1"/>
  <c r="I45" i="5" s="1"/>
  <c r="I46" i="5" s="1"/>
  <c r="I47" i="5" s="1"/>
  <c r="I48" i="5" s="1"/>
  <c r="I49" i="5" s="1"/>
  <c r="I50" i="5" s="1"/>
  <c r="I51" i="5" s="1"/>
  <c r="I52" i="5" s="1"/>
  <c r="I53" i="5" s="1"/>
  <c r="I54" i="5" s="1"/>
  <c r="I55" i="5" s="1"/>
  <c r="I56" i="5" s="1"/>
  <c r="I57" i="5" s="1"/>
  <c r="I58" i="5" s="1"/>
  <c r="I59" i="5" s="1"/>
  <c r="I60" i="5" s="1"/>
  <c r="I61" i="5" s="1"/>
  <c r="I62" i="5" s="1"/>
  <c r="I63" i="5" s="1"/>
  <c r="I64" i="5" s="1"/>
  <c r="I65" i="5" s="1"/>
  <c r="I66" i="5" s="1"/>
  <c r="I67" i="5" s="1"/>
  <c r="I68" i="5" s="1"/>
  <c r="I69" i="5" s="1"/>
  <c r="I70" i="5" s="1"/>
  <c r="I71" i="5" s="1"/>
  <c r="I72" i="5" s="1"/>
  <c r="I73" i="5" s="1"/>
  <c r="I74" i="5" s="1"/>
  <c r="I75" i="5" s="1"/>
  <c r="I76" i="5" s="1"/>
  <c r="I77" i="5" s="1"/>
  <c r="I78" i="5" s="1"/>
  <c r="I79" i="5" s="1"/>
  <c r="I80" i="5" s="1"/>
  <c r="I81" i="5" s="1"/>
  <c r="I82" i="5" s="1"/>
  <c r="I83" i="5" s="1"/>
  <c r="I84" i="5" s="1"/>
  <c r="I85" i="5" s="1"/>
  <c r="I86" i="5" s="1"/>
  <c r="I87" i="5" s="1"/>
  <c r="I88" i="5" s="1"/>
  <c r="I89" i="5" s="1"/>
  <c r="I90" i="5" s="1"/>
  <c r="I91" i="5" s="1"/>
  <c r="I92" i="5" s="1"/>
  <c r="I93" i="5" s="1"/>
  <c r="I94" i="5" s="1"/>
  <c r="I95" i="5" s="1"/>
  <c r="I96" i="5" s="1"/>
  <c r="I97" i="5" s="1"/>
  <c r="I98" i="5" s="1"/>
  <c r="I99" i="5" s="1"/>
  <c r="I100" i="5" s="1"/>
  <c r="I101" i="5" s="1"/>
  <c r="I102" i="5" s="1"/>
  <c r="AB42" i="5"/>
  <c r="AB43" i="5" s="1"/>
  <c r="AD42" i="5"/>
  <c r="AD43" i="5" s="1"/>
  <c r="AI41" i="5"/>
  <c r="AI42" i="5" s="1"/>
  <c r="AI43" i="5" s="1"/>
  <c r="T45" i="5"/>
  <c r="T46" i="5" s="1"/>
  <c r="T47" i="5" s="1"/>
  <c r="T48" i="5" s="1"/>
  <c r="T49" i="5" s="1"/>
  <c r="T50" i="5" s="1"/>
  <c r="T51" i="5" s="1"/>
  <c r="T52" i="5" s="1"/>
  <c r="T53" i="5" s="1"/>
  <c r="T54" i="5" s="1"/>
  <c r="T55" i="5" s="1"/>
  <c r="T56" i="5" s="1"/>
  <c r="T57" i="5" s="1"/>
  <c r="T58" i="5" s="1"/>
  <c r="T59" i="5" s="1"/>
  <c r="T60" i="5" s="1"/>
  <c r="T61" i="5" s="1"/>
  <c r="T62" i="5" s="1"/>
  <c r="T63" i="5" s="1"/>
  <c r="T64" i="5" s="1"/>
  <c r="T65" i="5" s="1"/>
  <c r="T66" i="5" s="1"/>
  <c r="T67" i="5" s="1"/>
  <c r="T68" i="5" s="1"/>
  <c r="T69" i="5" s="1"/>
  <c r="T70" i="5" s="1"/>
  <c r="T71" i="5" s="1"/>
  <c r="T72" i="5" s="1"/>
  <c r="T73" i="5" s="1"/>
  <c r="T74" i="5" s="1"/>
  <c r="T75" i="5" s="1"/>
  <c r="T76" i="5" s="1"/>
  <c r="T77" i="5" s="1"/>
  <c r="T78" i="5" s="1"/>
  <c r="T79" i="5" s="1"/>
  <c r="T80" i="5" s="1"/>
  <c r="T81" i="5" s="1"/>
  <c r="T82" i="5" s="1"/>
  <c r="T83" i="5" s="1"/>
  <c r="T84" i="5" s="1"/>
  <c r="T85" i="5" s="1"/>
  <c r="T86" i="5" s="1"/>
  <c r="T87" i="5" s="1"/>
  <c r="T88" i="5" s="1"/>
  <c r="T89" i="5" s="1"/>
  <c r="T90" i="5" s="1"/>
  <c r="T91" i="5" s="1"/>
  <c r="T92" i="5" s="1"/>
  <c r="T93" i="5" s="1"/>
  <c r="T94" i="5" s="1"/>
  <c r="T95" i="5" s="1"/>
  <c r="T96" i="5" s="1"/>
  <c r="T97" i="5" s="1"/>
  <c r="T98" i="5" s="1"/>
  <c r="T99" i="5" s="1"/>
  <c r="T100" i="5" s="1"/>
  <c r="T101" i="5" s="1"/>
  <c r="T102" i="5" s="1"/>
  <c r="U45" i="5"/>
  <c r="U46" i="5" s="1"/>
  <c r="U47" i="5" s="1"/>
  <c r="U48" i="5" s="1"/>
  <c r="U49" i="5" s="1"/>
  <c r="U50" i="5" s="1"/>
  <c r="U51" i="5" s="1"/>
  <c r="U52" i="5" s="1"/>
  <c r="U53" i="5" s="1"/>
  <c r="U54" i="5" s="1"/>
  <c r="U55" i="5" s="1"/>
  <c r="U56" i="5" s="1"/>
  <c r="U57" i="5" s="1"/>
  <c r="U58" i="5" s="1"/>
  <c r="U59" i="5" s="1"/>
  <c r="U60" i="5" s="1"/>
  <c r="U61" i="5" s="1"/>
  <c r="U62" i="5" s="1"/>
  <c r="U63" i="5" s="1"/>
  <c r="U64" i="5" s="1"/>
  <c r="U65" i="5" s="1"/>
  <c r="U66" i="5" s="1"/>
  <c r="U67" i="5" s="1"/>
  <c r="U68" i="5" s="1"/>
  <c r="U69" i="5" s="1"/>
  <c r="U70" i="5" s="1"/>
  <c r="U71" i="5" s="1"/>
  <c r="U72" i="5" s="1"/>
  <c r="U73" i="5" s="1"/>
  <c r="U74" i="5" s="1"/>
  <c r="U75" i="5" s="1"/>
  <c r="U76" i="5" s="1"/>
  <c r="U77" i="5" s="1"/>
  <c r="U78" i="5" s="1"/>
  <c r="U79" i="5" s="1"/>
  <c r="U80" i="5" s="1"/>
  <c r="U81" i="5" s="1"/>
  <c r="U82" i="5" s="1"/>
  <c r="U83" i="5" s="1"/>
  <c r="U84" i="5" s="1"/>
  <c r="U85" i="5" s="1"/>
  <c r="U86" i="5" s="1"/>
  <c r="U87" i="5" s="1"/>
  <c r="U88" i="5" s="1"/>
  <c r="U89" i="5" s="1"/>
  <c r="U90" i="5" s="1"/>
  <c r="U91" i="5" s="1"/>
  <c r="U92" i="5" s="1"/>
  <c r="U93" i="5" s="1"/>
  <c r="U94" i="5" s="1"/>
  <c r="U95" i="5" s="1"/>
  <c r="U96" i="5" s="1"/>
  <c r="U97" i="5" s="1"/>
  <c r="U98" i="5" s="1"/>
  <c r="U99" i="5" s="1"/>
  <c r="U100" i="5" s="1"/>
  <c r="U101" i="5" s="1"/>
  <c r="U102" i="5" s="1"/>
  <c r="V45" i="5"/>
  <c r="V46" i="5" s="1"/>
  <c r="V47" i="5" s="1"/>
  <c r="V48" i="5" s="1"/>
  <c r="W45" i="5"/>
  <c r="W46" i="5" s="1"/>
  <c r="W47" i="5" s="1"/>
  <c r="W48" i="5" s="1"/>
  <c r="X45" i="5"/>
  <c r="X46" i="5" s="1"/>
  <c r="X47" i="5" s="1"/>
  <c r="X48" i="5" s="1"/>
  <c r="Y45" i="5"/>
  <c r="Y46" i="5"/>
  <c r="Y47" i="5" s="1"/>
  <c r="Y48" i="5" s="1"/>
  <c r="Z45" i="5"/>
  <c r="Z46" i="5" s="1"/>
  <c r="Z47" i="5" s="1"/>
  <c r="Z48" i="5" s="1"/>
  <c r="AA45" i="5"/>
  <c r="AA46" i="5"/>
  <c r="AA47" i="5" s="1"/>
  <c r="AA48" i="5" s="1"/>
  <c r="AB45" i="5"/>
  <c r="AB46" i="5" s="1"/>
  <c r="AB47" i="5" s="1"/>
  <c r="AB48" i="5" s="1"/>
  <c r="AC45" i="5"/>
  <c r="AC46" i="5"/>
  <c r="AC47" i="5"/>
  <c r="AC48" i="5" s="1"/>
  <c r="AD45" i="5"/>
  <c r="AD46" i="5" s="1"/>
  <c r="AD47" i="5" s="1"/>
  <c r="AD48" i="5" s="1"/>
  <c r="AE45" i="5"/>
  <c r="AE46" i="5"/>
  <c r="AE47" i="5" s="1"/>
  <c r="AE48" i="5" s="1"/>
  <c r="AF45" i="5"/>
  <c r="AF46" i="5" s="1"/>
  <c r="AF47" i="5" s="1"/>
  <c r="AF48" i="5" s="1"/>
  <c r="AG45" i="5"/>
  <c r="AG46" i="5"/>
  <c r="AG47" i="5"/>
  <c r="AG48" i="5" s="1"/>
  <c r="AH45" i="5"/>
  <c r="AH46" i="5" s="1"/>
  <c r="AH47" i="5"/>
  <c r="AH48" i="5" s="1"/>
  <c r="AI45" i="5"/>
  <c r="AI46" i="5"/>
  <c r="AI47" i="5" s="1"/>
  <c r="AI48" i="5" s="1"/>
  <c r="AJ45" i="5"/>
  <c r="AJ46" i="5" s="1"/>
  <c r="AJ47" i="5" s="1"/>
  <c r="AJ48" i="5" s="1"/>
  <c r="AK45" i="5"/>
  <c r="AK46" i="5" s="1"/>
  <c r="AK47" i="5" s="1"/>
  <c r="AK48" i="5" s="1"/>
  <c r="AL45" i="5"/>
  <c r="AL46" i="5"/>
  <c r="AL47" i="5" s="1"/>
  <c r="AL48" i="5" s="1"/>
  <c r="AM45" i="5"/>
  <c r="AM46" i="5" s="1"/>
  <c r="AM47" i="5" s="1"/>
  <c r="AM48" i="5" s="1"/>
  <c r="AN45" i="5"/>
  <c r="AN46" i="5" s="1"/>
  <c r="AN47" i="5" s="1"/>
  <c r="AN48" i="5" s="1"/>
  <c r="AO45" i="5"/>
  <c r="AO46" i="5" s="1"/>
  <c r="AO47" i="5" s="1"/>
  <c r="AO48" i="5" s="1"/>
  <c r="AP45" i="5"/>
  <c r="AP46" i="5" s="1"/>
  <c r="AP47" i="5" s="1"/>
  <c r="AP48" i="5" s="1"/>
  <c r="AQ45" i="5"/>
  <c r="AQ46" i="5" s="1"/>
  <c r="AQ47" i="5" s="1"/>
  <c r="AQ48" i="5" s="1"/>
  <c r="AR45" i="5"/>
  <c r="AR46" i="5"/>
  <c r="AR47" i="5" s="1"/>
  <c r="AR48" i="5" s="1"/>
  <c r="AS45" i="5"/>
  <c r="AS46" i="5" s="1"/>
  <c r="AS47" i="5" s="1"/>
  <c r="AS48" i="5" s="1"/>
  <c r="AT45" i="5"/>
  <c r="AT46" i="5"/>
  <c r="AT47" i="5" s="1"/>
  <c r="AT48" i="5" s="1"/>
  <c r="AU45" i="5"/>
  <c r="AU46" i="5"/>
  <c r="AU47" i="5" s="1"/>
  <c r="AU48" i="5" s="1"/>
  <c r="AV45" i="5"/>
  <c r="AV46" i="5" s="1"/>
  <c r="AV47" i="5" s="1"/>
  <c r="AV48" i="5" s="1"/>
  <c r="AW45" i="5"/>
  <c r="AW46" i="5" s="1"/>
  <c r="AW47" i="5" s="1"/>
  <c r="AW48" i="5" s="1"/>
  <c r="AX45" i="5"/>
  <c r="AX46" i="5"/>
  <c r="AX47" i="5" s="1"/>
  <c r="AX48" i="5" s="1"/>
  <c r="AY45" i="5"/>
  <c r="AY46" i="5" s="1"/>
  <c r="AY47" i="5" s="1"/>
  <c r="AY48" i="5" s="1"/>
  <c r="AZ45" i="5"/>
  <c r="AZ46" i="5" s="1"/>
  <c r="BA45" i="5"/>
  <c r="BA46" i="5" s="1"/>
  <c r="BA47" i="5" s="1"/>
  <c r="BA48" i="5" s="1"/>
  <c r="BB45" i="5"/>
  <c r="BB46" i="5" s="1"/>
  <c r="BB47" i="5" s="1"/>
  <c r="BB48" i="5" s="1"/>
  <c r="BC45" i="5"/>
  <c r="BC46" i="5" s="1"/>
  <c r="BC47" i="5" s="1"/>
  <c r="BC48" i="5" s="1"/>
  <c r="AZ47" i="5"/>
  <c r="AZ48" i="5" s="1"/>
  <c r="V50" i="5"/>
  <c r="V51" i="5"/>
  <c r="V52" i="5" s="1"/>
  <c r="V53" i="5" s="1"/>
  <c r="V54" i="5" s="1"/>
  <c r="V55" i="5" s="1"/>
  <c r="V56" i="5" s="1"/>
  <c r="V57" i="5" s="1"/>
  <c r="V58" i="5" s="1"/>
  <c r="V59" i="5" s="1"/>
  <c r="V60" i="5" s="1"/>
  <c r="V61" i="5" s="1"/>
  <c r="V62" i="5" s="1"/>
  <c r="V63" i="5" s="1"/>
  <c r="V64" i="5" s="1"/>
  <c r="V65" i="5" s="1"/>
  <c r="V66" i="5" s="1"/>
  <c r="V67" i="5" s="1"/>
  <c r="V68" i="5" s="1"/>
  <c r="V69" i="5" s="1"/>
  <c r="V70" i="5" s="1"/>
  <c r="V71" i="5" s="1"/>
  <c r="V72" i="5" s="1"/>
  <c r="V73" i="5" s="1"/>
  <c r="V74" i="5" s="1"/>
  <c r="V75" i="5" s="1"/>
  <c r="V76" i="5" s="1"/>
  <c r="V77" i="5" s="1"/>
  <c r="V78" i="5" s="1"/>
  <c r="V79" i="5" s="1"/>
  <c r="V80" i="5" s="1"/>
  <c r="V81" i="5" s="1"/>
  <c r="V82" i="5" s="1"/>
  <c r="V83" i="5" s="1"/>
  <c r="V84" i="5" s="1"/>
  <c r="V85" i="5" s="1"/>
  <c r="V86" i="5" s="1"/>
  <c r="V87" i="5" s="1"/>
  <c r="V88" i="5" s="1"/>
  <c r="V89" i="5" s="1"/>
  <c r="V90" i="5" s="1"/>
  <c r="V91" i="5" s="1"/>
  <c r="V92" i="5" s="1"/>
  <c r="V93" i="5" s="1"/>
  <c r="V94" i="5" s="1"/>
  <c r="V95" i="5" s="1"/>
  <c r="V96" i="5" s="1"/>
  <c r="V97" i="5" s="1"/>
  <c r="V98" i="5" s="1"/>
  <c r="V99" i="5" s="1"/>
  <c r="V100" i="5" s="1"/>
  <c r="V101" i="5" s="1"/>
  <c r="V102" i="5" s="1"/>
  <c r="W50" i="5"/>
  <c r="W51" i="5"/>
  <c r="W52" i="5" s="1"/>
  <c r="W53" i="5" s="1"/>
  <c r="W54" i="5" s="1"/>
  <c r="W55" i="5" s="1"/>
  <c r="W56" i="5" s="1"/>
  <c r="W57" i="5" s="1"/>
  <c r="W58" i="5" s="1"/>
  <c r="W59" i="5" s="1"/>
  <c r="W60" i="5" s="1"/>
  <c r="W61" i="5" s="1"/>
  <c r="W62" i="5" s="1"/>
  <c r="W63" i="5" s="1"/>
  <c r="W64" i="5" s="1"/>
  <c r="W65" i="5" s="1"/>
  <c r="W66" i="5" s="1"/>
  <c r="W67" i="5" s="1"/>
  <c r="W68" i="5" s="1"/>
  <c r="W69" i="5" s="1"/>
  <c r="W70" i="5" s="1"/>
  <c r="W71" i="5" s="1"/>
  <c r="W72" i="5" s="1"/>
  <c r="W73" i="5" s="1"/>
  <c r="W74" i="5" s="1"/>
  <c r="W75" i="5" s="1"/>
  <c r="W76" i="5" s="1"/>
  <c r="W77" i="5" s="1"/>
  <c r="W78" i="5" s="1"/>
  <c r="W79" i="5" s="1"/>
  <c r="W80" i="5" s="1"/>
  <c r="W81" i="5" s="1"/>
  <c r="W82" i="5" s="1"/>
  <c r="W83" i="5" s="1"/>
  <c r="W84" i="5" s="1"/>
  <c r="W85" i="5" s="1"/>
  <c r="W86" i="5" s="1"/>
  <c r="W87" i="5" s="1"/>
  <c r="W88" i="5" s="1"/>
  <c r="W89" i="5" s="1"/>
  <c r="W90" i="5" s="1"/>
  <c r="W91" i="5" s="1"/>
  <c r="W92" i="5" s="1"/>
  <c r="W93" i="5" s="1"/>
  <c r="W94" i="5" s="1"/>
  <c r="W95" i="5" s="1"/>
  <c r="W96" i="5" s="1"/>
  <c r="W97" i="5" s="1"/>
  <c r="W98" i="5" s="1"/>
  <c r="W99" i="5" s="1"/>
  <c r="W100" i="5" s="1"/>
  <c r="W101" i="5" s="1"/>
  <c r="W102" i="5" s="1"/>
  <c r="X50" i="5"/>
  <c r="X51" i="5" s="1"/>
  <c r="X52" i="5" s="1"/>
  <c r="X53" i="5" s="1"/>
  <c r="Y50" i="5"/>
  <c r="Y51" i="5" s="1"/>
  <c r="Y52" i="5" s="1"/>
  <c r="Y53" i="5"/>
  <c r="Z50" i="5"/>
  <c r="Z51" i="5" s="1"/>
  <c r="Z52" i="5" s="1"/>
  <c r="Z53" i="5" s="1"/>
  <c r="AA50" i="5"/>
  <c r="AA51" i="5" s="1"/>
  <c r="AA52" i="5" s="1"/>
  <c r="AA53" i="5" s="1"/>
  <c r="AB50" i="5"/>
  <c r="AB51" i="5" s="1"/>
  <c r="AB52" i="5" s="1"/>
  <c r="AB53" i="5" s="1"/>
  <c r="AC50" i="5"/>
  <c r="AC51" i="5" s="1"/>
  <c r="AC52" i="5" s="1"/>
  <c r="AC53" i="5" s="1"/>
  <c r="AD50" i="5"/>
  <c r="AD51" i="5" s="1"/>
  <c r="AD52" i="5" s="1"/>
  <c r="AD53" i="5" s="1"/>
  <c r="AE50" i="5"/>
  <c r="AE51" i="5" s="1"/>
  <c r="AF50" i="5"/>
  <c r="AF51" i="5" s="1"/>
  <c r="AF52" i="5" s="1"/>
  <c r="AF53" i="5" s="1"/>
  <c r="AG50" i="5"/>
  <c r="AG51" i="5" s="1"/>
  <c r="AG52" i="5" s="1"/>
  <c r="AG53" i="5" s="1"/>
  <c r="AH50" i="5"/>
  <c r="AH51" i="5"/>
  <c r="AH52" i="5" s="1"/>
  <c r="AH53" i="5" s="1"/>
  <c r="AI50" i="5"/>
  <c r="AI51" i="5" s="1"/>
  <c r="AI52" i="5"/>
  <c r="AI53" i="5" s="1"/>
  <c r="AJ50" i="5"/>
  <c r="AJ51" i="5" s="1"/>
  <c r="AJ52" i="5" s="1"/>
  <c r="AJ53" i="5" s="1"/>
  <c r="AK50" i="5"/>
  <c r="AK51" i="5" s="1"/>
  <c r="AK52" i="5" s="1"/>
  <c r="AK53" i="5" s="1"/>
  <c r="AL50" i="5"/>
  <c r="AL51" i="5"/>
  <c r="AL52" i="5" s="1"/>
  <c r="AL53" i="5" s="1"/>
  <c r="AM50" i="5"/>
  <c r="AM51" i="5" s="1"/>
  <c r="AM52" i="5"/>
  <c r="AM53" i="5" s="1"/>
  <c r="AN50" i="5"/>
  <c r="AN51" i="5" s="1"/>
  <c r="AN52" i="5" s="1"/>
  <c r="AN53" i="5" s="1"/>
  <c r="AO50" i="5"/>
  <c r="AO51" i="5" s="1"/>
  <c r="AO52" i="5" s="1"/>
  <c r="AO53" i="5" s="1"/>
  <c r="AP50" i="5"/>
  <c r="AP51" i="5"/>
  <c r="AP52" i="5" s="1"/>
  <c r="AP53" i="5" s="1"/>
  <c r="AQ50" i="5"/>
  <c r="AQ51" i="5" s="1"/>
  <c r="AQ52" i="5"/>
  <c r="AQ53" i="5" s="1"/>
  <c r="AR50" i="5"/>
  <c r="AR51" i="5" s="1"/>
  <c r="AR52" i="5" s="1"/>
  <c r="AR53" i="5" s="1"/>
  <c r="AS50" i="5"/>
  <c r="AS51" i="5" s="1"/>
  <c r="AS52" i="5" s="1"/>
  <c r="AS53" i="5" s="1"/>
  <c r="AT50" i="5"/>
  <c r="AT51" i="5"/>
  <c r="AT52" i="5" s="1"/>
  <c r="AT53" i="5" s="1"/>
  <c r="AU50" i="5"/>
  <c r="AU51" i="5" s="1"/>
  <c r="AU52" i="5"/>
  <c r="AU53" i="5" s="1"/>
  <c r="AV50" i="5"/>
  <c r="AV51" i="5" s="1"/>
  <c r="AV52" i="5" s="1"/>
  <c r="AV53" i="5" s="1"/>
  <c r="AW50" i="5"/>
  <c r="AW51" i="5" s="1"/>
  <c r="AW52" i="5" s="1"/>
  <c r="AW53" i="5" s="1"/>
  <c r="AX50" i="5"/>
  <c r="AX51" i="5"/>
  <c r="AX52" i="5" s="1"/>
  <c r="AX53" i="5" s="1"/>
  <c r="AY50" i="5"/>
  <c r="AY51" i="5" s="1"/>
  <c r="AY52" i="5" s="1"/>
  <c r="AY53" i="5" s="1"/>
  <c r="AZ50" i="5"/>
  <c r="AZ51" i="5" s="1"/>
  <c r="AZ52" i="5" s="1"/>
  <c r="AZ53" i="5" s="1"/>
  <c r="BA50" i="5"/>
  <c r="BA51" i="5" s="1"/>
  <c r="BA52" i="5" s="1"/>
  <c r="BA53" i="5" s="1"/>
  <c r="BB50" i="5"/>
  <c r="BB51" i="5" s="1"/>
  <c r="BB52" i="5" s="1"/>
  <c r="BB53" i="5" s="1"/>
  <c r="BC50" i="5"/>
  <c r="BC51" i="5" s="1"/>
  <c r="BC52" i="5" s="1"/>
  <c r="BC53" i="5" s="1"/>
  <c r="AE52" i="5"/>
  <c r="AE53" i="5" s="1"/>
  <c r="X55" i="5"/>
  <c r="X56" i="5" s="1"/>
  <c r="X57" i="5" s="1"/>
  <c r="X58" i="5" s="1"/>
  <c r="X59" i="5" s="1"/>
  <c r="X60" i="5" s="1"/>
  <c r="X61" i="5" s="1"/>
  <c r="X62" i="5" s="1"/>
  <c r="X63" i="5" s="1"/>
  <c r="X64" i="5" s="1"/>
  <c r="X65" i="5" s="1"/>
  <c r="X66" i="5" s="1"/>
  <c r="X67" i="5" s="1"/>
  <c r="X68" i="5" s="1"/>
  <c r="X69" i="5" s="1"/>
  <c r="X70" i="5" s="1"/>
  <c r="X71" i="5" s="1"/>
  <c r="X72" i="5" s="1"/>
  <c r="X73" i="5" s="1"/>
  <c r="X74" i="5" s="1"/>
  <c r="X75" i="5" s="1"/>
  <c r="X76" i="5" s="1"/>
  <c r="X77" i="5" s="1"/>
  <c r="X78" i="5" s="1"/>
  <c r="X79" i="5" s="1"/>
  <c r="X80" i="5" s="1"/>
  <c r="X81" i="5" s="1"/>
  <c r="X82" i="5" s="1"/>
  <c r="X83" i="5" s="1"/>
  <c r="X84" i="5" s="1"/>
  <c r="X85" i="5" s="1"/>
  <c r="X86" i="5" s="1"/>
  <c r="X87" i="5" s="1"/>
  <c r="X88" i="5" s="1"/>
  <c r="X89" i="5" s="1"/>
  <c r="X90" i="5" s="1"/>
  <c r="X91" i="5" s="1"/>
  <c r="X92" i="5" s="1"/>
  <c r="X93" i="5" s="1"/>
  <c r="X94" i="5" s="1"/>
  <c r="X95" i="5" s="1"/>
  <c r="X96" i="5" s="1"/>
  <c r="X97" i="5" s="1"/>
  <c r="X98" i="5" s="1"/>
  <c r="X99" i="5" s="1"/>
  <c r="X100" i="5" s="1"/>
  <c r="X101" i="5" s="1"/>
  <c r="X102" i="5" s="1"/>
  <c r="Y55" i="5"/>
  <c r="Y56" i="5" s="1"/>
  <c r="Y57" i="5" s="1"/>
  <c r="Y58" i="5" s="1"/>
  <c r="Y59" i="5" s="1"/>
  <c r="Y60" i="5" s="1"/>
  <c r="Y61" i="5" s="1"/>
  <c r="Y62" i="5" s="1"/>
  <c r="Y63" i="5" s="1"/>
  <c r="Y64" i="5" s="1"/>
  <c r="Y65" i="5" s="1"/>
  <c r="Y66" i="5" s="1"/>
  <c r="Y67" i="5" s="1"/>
  <c r="Y68" i="5" s="1"/>
  <c r="Y69" i="5" s="1"/>
  <c r="Y70" i="5" s="1"/>
  <c r="Y71" i="5" s="1"/>
  <c r="Y72" i="5" s="1"/>
  <c r="Y73" i="5" s="1"/>
  <c r="Y74" i="5" s="1"/>
  <c r="Y75" i="5" s="1"/>
  <c r="Y76" i="5" s="1"/>
  <c r="Y77" i="5" s="1"/>
  <c r="Y78" i="5" s="1"/>
  <c r="Y79" i="5" s="1"/>
  <c r="Y80" i="5" s="1"/>
  <c r="Y81" i="5" s="1"/>
  <c r="Y82" i="5" s="1"/>
  <c r="Y83" i="5" s="1"/>
  <c r="Y84" i="5" s="1"/>
  <c r="Y85" i="5" s="1"/>
  <c r="Y86" i="5" s="1"/>
  <c r="Y87" i="5" s="1"/>
  <c r="Y88" i="5" s="1"/>
  <c r="Y89" i="5" s="1"/>
  <c r="Y90" i="5" s="1"/>
  <c r="Y91" i="5" s="1"/>
  <c r="Y92" i="5" s="1"/>
  <c r="Y93" i="5" s="1"/>
  <c r="Y94" i="5" s="1"/>
  <c r="Y95" i="5" s="1"/>
  <c r="Y96" i="5" s="1"/>
  <c r="Y97" i="5" s="1"/>
  <c r="Y98" i="5" s="1"/>
  <c r="Y99" i="5" s="1"/>
  <c r="Y100" i="5" s="1"/>
  <c r="Y101" i="5" s="1"/>
  <c r="Y102" i="5" s="1"/>
  <c r="Z55" i="5"/>
  <c r="Z56" i="5"/>
  <c r="Z57" i="5" s="1"/>
  <c r="Z58" i="5" s="1"/>
  <c r="AA55" i="5"/>
  <c r="AA56" i="5"/>
  <c r="AA57" i="5" s="1"/>
  <c r="AB55" i="5"/>
  <c r="AB56" i="5" s="1"/>
  <c r="AB57" i="5" s="1"/>
  <c r="AB58" i="5"/>
  <c r="AC55" i="5"/>
  <c r="AC56" i="5" s="1"/>
  <c r="AC57" i="5"/>
  <c r="AC58" i="5" s="1"/>
  <c r="AD55" i="5"/>
  <c r="AD56" i="5" s="1"/>
  <c r="AD57" i="5" s="1"/>
  <c r="AD58" i="5"/>
  <c r="AE55" i="5"/>
  <c r="AE56" i="5" s="1"/>
  <c r="AE57" i="5" s="1"/>
  <c r="AE58" i="5" s="1"/>
  <c r="AF55" i="5"/>
  <c r="AF56" i="5" s="1"/>
  <c r="AF57" i="5" s="1"/>
  <c r="AF58" i="5"/>
  <c r="AG55" i="5"/>
  <c r="AG56" i="5" s="1"/>
  <c r="AG57" i="5"/>
  <c r="AG58" i="5" s="1"/>
  <c r="AH55" i="5"/>
  <c r="AH56" i="5" s="1"/>
  <c r="AH57" i="5" s="1"/>
  <c r="AH58" i="5"/>
  <c r="AI55" i="5"/>
  <c r="AI56" i="5" s="1"/>
  <c r="AI57" i="5" s="1"/>
  <c r="AI58" i="5" s="1"/>
  <c r="AJ55" i="5"/>
  <c r="AJ56" i="5" s="1"/>
  <c r="AJ57" i="5" s="1"/>
  <c r="AJ58" i="5"/>
  <c r="AK55" i="5"/>
  <c r="AK56" i="5" s="1"/>
  <c r="AK57" i="5"/>
  <c r="AK58" i="5" s="1"/>
  <c r="AL55" i="5"/>
  <c r="AL56" i="5" s="1"/>
  <c r="AL57" i="5" s="1"/>
  <c r="AL58" i="5"/>
  <c r="AM55" i="5"/>
  <c r="AM56" i="5" s="1"/>
  <c r="AM57" i="5" s="1"/>
  <c r="AM58" i="5" s="1"/>
  <c r="AN55" i="5"/>
  <c r="AN56" i="5" s="1"/>
  <c r="AN57" i="5" s="1"/>
  <c r="AN58" i="5" s="1"/>
  <c r="AO55" i="5"/>
  <c r="AO56" i="5" s="1"/>
  <c r="AO57" i="5" s="1"/>
  <c r="AO58" i="5" s="1"/>
  <c r="AP55" i="5"/>
  <c r="AP56" i="5"/>
  <c r="AP57" i="5" s="1"/>
  <c r="AP58" i="5" s="1"/>
  <c r="AQ55" i="5"/>
  <c r="AQ56" i="5"/>
  <c r="AQ57" i="5"/>
  <c r="AQ58" i="5" s="1"/>
  <c r="AR55" i="5"/>
  <c r="AR56" i="5" s="1"/>
  <c r="AR57" i="5" s="1"/>
  <c r="AR58" i="5" s="1"/>
  <c r="AS55" i="5"/>
  <c r="AS56" i="5" s="1"/>
  <c r="AS57" i="5" s="1"/>
  <c r="AS58" i="5" s="1"/>
  <c r="AT55" i="5"/>
  <c r="AT56" i="5"/>
  <c r="AT57" i="5" s="1"/>
  <c r="AT58" i="5" s="1"/>
  <c r="AU55" i="5"/>
  <c r="AU56" i="5" s="1"/>
  <c r="AU57" i="5" s="1"/>
  <c r="AU58" i="5" s="1"/>
  <c r="AV55" i="5"/>
  <c r="AV56" i="5"/>
  <c r="AV57" i="5" s="1"/>
  <c r="AV58" i="5" s="1"/>
  <c r="AW55" i="5"/>
  <c r="AW56" i="5" s="1"/>
  <c r="AW57" i="5" s="1"/>
  <c r="AW58" i="5" s="1"/>
  <c r="AX55" i="5"/>
  <c r="AX56" i="5" s="1"/>
  <c r="AX57" i="5" s="1"/>
  <c r="AX58" i="5" s="1"/>
  <c r="AY55" i="5"/>
  <c r="AY56" i="5"/>
  <c r="AY57" i="5" s="1"/>
  <c r="AY58" i="5" s="1"/>
  <c r="AZ55" i="5"/>
  <c r="AZ56" i="5" s="1"/>
  <c r="AZ57" i="5" s="1"/>
  <c r="AZ58" i="5" s="1"/>
  <c r="BA55" i="5"/>
  <c r="BA56" i="5" s="1"/>
  <c r="BA57" i="5" s="1"/>
  <c r="BA58" i="5" s="1"/>
  <c r="BB55" i="5"/>
  <c r="BB56" i="5"/>
  <c r="BB57" i="5" s="1"/>
  <c r="BB58" i="5" s="1"/>
  <c r="BC55" i="5"/>
  <c r="BC56" i="5" s="1"/>
  <c r="BC57" i="5" s="1"/>
  <c r="BC58" i="5" s="1"/>
  <c r="AA58" i="5"/>
  <c r="Z60" i="5"/>
  <c r="Z61" i="5" s="1"/>
  <c r="Z62" i="5" s="1"/>
  <c r="Z63" i="5" s="1"/>
  <c r="Z64" i="5" s="1"/>
  <c r="Z65" i="5" s="1"/>
  <c r="Z66" i="5" s="1"/>
  <c r="Z67" i="5" s="1"/>
  <c r="Z68" i="5" s="1"/>
  <c r="Z69" i="5" s="1"/>
  <c r="Z70" i="5" s="1"/>
  <c r="Z71" i="5" s="1"/>
  <c r="Z72" i="5" s="1"/>
  <c r="Z73" i="5" s="1"/>
  <c r="Z74" i="5" s="1"/>
  <c r="Z75" i="5" s="1"/>
  <c r="Z76" i="5" s="1"/>
  <c r="Z77" i="5" s="1"/>
  <c r="Z78" i="5" s="1"/>
  <c r="Z79" i="5" s="1"/>
  <c r="Z80" i="5" s="1"/>
  <c r="Z81" i="5" s="1"/>
  <c r="Z82" i="5" s="1"/>
  <c r="Z83" i="5" s="1"/>
  <c r="Z84" i="5" s="1"/>
  <c r="Z85" i="5" s="1"/>
  <c r="Z86" i="5" s="1"/>
  <c r="Z87" i="5" s="1"/>
  <c r="Z88" i="5" s="1"/>
  <c r="Z89" i="5" s="1"/>
  <c r="Z90" i="5" s="1"/>
  <c r="Z91" i="5" s="1"/>
  <c r="Z92" i="5" s="1"/>
  <c r="Z93" i="5" s="1"/>
  <c r="Z94" i="5" s="1"/>
  <c r="Z95" i="5" s="1"/>
  <c r="Z96" i="5" s="1"/>
  <c r="Z97" i="5" s="1"/>
  <c r="Z98" i="5" s="1"/>
  <c r="Z99" i="5" s="1"/>
  <c r="Z100" i="5" s="1"/>
  <c r="Z101" i="5" s="1"/>
  <c r="Z102" i="5" s="1"/>
  <c r="AA60" i="5"/>
  <c r="AA61" i="5" s="1"/>
  <c r="AA62" i="5" s="1"/>
  <c r="AA63" i="5" s="1"/>
  <c r="AA64" i="5" s="1"/>
  <c r="AA65" i="5" s="1"/>
  <c r="AA66" i="5" s="1"/>
  <c r="AA67" i="5" s="1"/>
  <c r="AA68" i="5" s="1"/>
  <c r="AA69" i="5" s="1"/>
  <c r="AA70" i="5" s="1"/>
  <c r="AA71" i="5" s="1"/>
  <c r="AA72" i="5" s="1"/>
  <c r="AA73" i="5" s="1"/>
  <c r="AA74" i="5" s="1"/>
  <c r="AA75" i="5" s="1"/>
  <c r="AA76" i="5" s="1"/>
  <c r="AA77" i="5" s="1"/>
  <c r="AA78" i="5" s="1"/>
  <c r="AA79" i="5" s="1"/>
  <c r="AA80" i="5" s="1"/>
  <c r="AA81" i="5" s="1"/>
  <c r="AA82" i="5" s="1"/>
  <c r="AA83" i="5" s="1"/>
  <c r="AA84" i="5" s="1"/>
  <c r="AA85" i="5" s="1"/>
  <c r="AA86" i="5" s="1"/>
  <c r="AA87" i="5" s="1"/>
  <c r="AA88" i="5" s="1"/>
  <c r="AA89" i="5" s="1"/>
  <c r="AA90" i="5" s="1"/>
  <c r="AA91" i="5" s="1"/>
  <c r="AA92" i="5" s="1"/>
  <c r="AA93" i="5" s="1"/>
  <c r="AA94" i="5" s="1"/>
  <c r="AA95" i="5" s="1"/>
  <c r="AA96" i="5" s="1"/>
  <c r="AA97" i="5" s="1"/>
  <c r="AA98" i="5" s="1"/>
  <c r="AA99" i="5" s="1"/>
  <c r="AA100" i="5" s="1"/>
  <c r="AA101" i="5" s="1"/>
  <c r="AA102" i="5" s="1"/>
  <c r="AB60" i="5"/>
  <c r="AB61" i="5" s="1"/>
  <c r="AB62" i="5" s="1"/>
  <c r="AB63" i="5" s="1"/>
  <c r="AC60" i="5"/>
  <c r="AC61" i="5"/>
  <c r="AC62" i="5" s="1"/>
  <c r="AC63" i="5" s="1"/>
  <c r="AD60" i="5"/>
  <c r="AD61" i="5"/>
  <c r="AD62" i="5" s="1"/>
  <c r="AD63" i="5" s="1"/>
  <c r="AE60" i="5"/>
  <c r="AE61" i="5"/>
  <c r="AE62" i="5" s="1"/>
  <c r="AE63" i="5" s="1"/>
  <c r="AF60" i="5"/>
  <c r="AF61" i="5"/>
  <c r="AF62" i="5" s="1"/>
  <c r="AF63" i="5" s="1"/>
  <c r="AG60" i="5"/>
  <c r="AG61" i="5" s="1"/>
  <c r="AG62" i="5" s="1"/>
  <c r="AG63" i="5" s="1"/>
  <c r="AH60" i="5"/>
  <c r="AH61" i="5" s="1"/>
  <c r="AH62" i="5" s="1"/>
  <c r="AH63" i="5" s="1"/>
  <c r="AI60" i="5"/>
  <c r="AI61" i="5"/>
  <c r="AI62" i="5"/>
  <c r="AI63" i="5" s="1"/>
  <c r="AJ60" i="5"/>
  <c r="AJ61" i="5"/>
  <c r="AJ62" i="5" s="1"/>
  <c r="AJ63" i="5" s="1"/>
  <c r="AK60" i="5"/>
  <c r="AK61" i="5"/>
  <c r="AK62" i="5" s="1"/>
  <c r="AK63" i="5" s="1"/>
  <c r="AL60" i="5"/>
  <c r="AL61" i="5"/>
  <c r="AL62" i="5" s="1"/>
  <c r="AL63" i="5" s="1"/>
  <c r="AM60" i="5"/>
  <c r="AM61" i="5"/>
  <c r="AM62" i="5" s="1"/>
  <c r="AM63" i="5" s="1"/>
  <c r="AN60" i="5"/>
  <c r="AN61" i="5" s="1"/>
  <c r="AN62" i="5" s="1"/>
  <c r="AN63" i="5" s="1"/>
  <c r="AO60" i="5"/>
  <c r="AO61" i="5" s="1"/>
  <c r="AO62" i="5" s="1"/>
  <c r="AO63" i="5" s="1"/>
  <c r="AP60" i="5"/>
  <c r="AP61" i="5"/>
  <c r="AP62" i="5" s="1"/>
  <c r="AP63" i="5" s="1"/>
  <c r="AQ60" i="5"/>
  <c r="AQ61" i="5"/>
  <c r="AQ62" i="5" s="1"/>
  <c r="AQ63" i="5" s="1"/>
  <c r="AR60" i="5"/>
  <c r="AR61" i="5" s="1"/>
  <c r="AR62" i="5" s="1"/>
  <c r="AR63" i="5" s="1"/>
  <c r="AS60" i="5"/>
  <c r="AS61" i="5" s="1"/>
  <c r="AS62" i="5" s="1"/>
  <c r="AS63" i="5" s="1"/>
  <c r="AT60" i="5"/>
  <c r="AT61" i="5" s="1"/>
  <c r="AT62" i="5" s="1"/>
  <c r="AT63" i="5" s="1"/>
  <c r="AU60" i="5"/>
  <c r="AU61" i="5" s="1"/>
  <c r="AU62" i="5" s="1"/>
  <c r="AU63" i="5" s="1"/>
  <c r="AV60" i="5"/>
  <c r="AV61" i="5"/>
  <c r="AV62" i="5" s="1"/>
  <c r="AV63" i="5" s="1"/>
  <c r="AW60" i="5"/>
  <c r="AW61" i="5"/>
  <c r="AW62" i="5" s="1"/>
  <c r="AW63" i="5" s="1"/>
  <c r="AX60" i="5"/>
  <c r="AX61" i="5" s="1"/>
  <c r="AX62" i="5" s="1"/>
  <c r="AX63" i="5" s="1"/>
  <c r="AY60" i="5"/>
  <c r="AY61" i="5" s="1"/>
  <c r="AY62" i="5" s="1"/>
  <c r="AY63" i="5" s="1"/>
  <c r="AZ60" i="5"/>
  <c r="AZ61" i="5"/>
  <c r="AZ62" i="5" s="1"/>
  <c r="AZ63" i="5" s="1"/>
  <c r="BA60" i="5"/>
  <c r="BA61" i="5"/>
  <c r="BA62" i="5"/>
  <c r="BA63" i="5" s="1"/>
  <c r="BB60" i="5"/>
  <c r="BB61" i="5" s="1"/>
  <c r="BB62" i="5" s="1"/>
  <c r="BB63" i="5" s="1"/>
  <c r="BC60" i="5"/>
  <c r="BC61" i="5"/>
  <c r="BC62" i="5" s="1"/>
  <c r="BC63" i="5" s="1"/>
  <c r="AB65" i="5"/>
  <c r="AB66" i="5" s="1"/>
  <c r="AB67" i="5" s="1"/>
  <c r="AB68" i="5" s="1"/>
  <c r="AB69" i="5" s="1"/>
  <c r="AB70" i="5" s="1"/>
  <c r="AB71" i="5" s="1"/>
  <c r="AB72" i="5" s="1"/>
  <c r="AB73" i="5" s="1"/>
  <c r="AB74" i="5" s="1"/>
  <c r="AB75" i="5" s="1"/>
  <c r="AB76" i="5" s="1"/>
  <c r="AB77" i="5" s="1"/>
  <c r="AB78" i="5" s="1"/>
  <c r="AB79" i="5" s="1"/>
  <c r="AB80" i="5" s="1"/>
  <c r="AB81" i="5" s="1"/>
  <c r="AB82" i="5" s="1"/>
  <c r="AB83" i="5" s="1"/>
  <c r="AB84" i="5" s="1"/>
  <c r="AB85" i="5" s="1"/>
  <c r="AB86" i="5" s="1"/>
  <c r="AB87" i="5" s="1"/>
  <c r="AB88" i="5" s="1"/>
  <c r="AB89" i="5" s="1"/>
  <c r="AB90" i="5" s="1"/>
  <c r="AB91" i="5" s="1"/>
  <c r="AB92" i="5" s="1"/>
  <c r="AB93" i="5" s="1"/>
  <c r="AB94" i="5" s="1"/>
  <c r="AB95" i="5" s="1"/>
  <c r="AB96" i="5" s="1"/>
  <c r="AB97" i="5" s="1"/>
  <c r="AB98" i="5" s="1"/>
  <c r="AB99" i="5" s="1"/>
  <c r="AB100" i="5" s="1"/>
  <c r="AB101" i="5" s="1"/>
  <c r="AB102" i="5" s="1"/>
  <c r="AC65" i="5"/>
  <c r="AC66" i="5" s="1"/>
  <c r="AC67" i="5" s="1"/>
  <c r="AC68" i="5" s="1"/>
  <c r="AC69" i="5" s="1"/>
  <c r="AC70" i="5" s="1"/>
  <c r="AC71" i="5" s="1"/>
  <c r="AC72" i="5" s="1"/>
  <c r="AC73" i="5" s="1"/>
  <c r="AC74" i="5" s="1"/>
  <c r="AC75" i="5" s="1"/>
  <c r="AC76" i="5"/>
  <c r="AC77" i="5" s="1"/>
  <c r="AC78" i="5" s="1"/>
  <c r="AC79" i="5" s="1"/>
  <c r="AC80" i="5" s="1"/>
  <c r="AC81" i="5" s="1"/>
  <c r="AC82" i="5" s="1"/>
  <c r="AC83" i="5" s="1"/>
  <c r="AC84" i="5" s="1"/>
  <c r="AC85" i="5" s="1"/>
  <c r="AC86" i="5" s="1"/>
  <c r="AC87" i="5" s="1"/>
  <c r="AC88" i="5" s="1"/>
  <c r="AC89" i="5" s="1"/>
  <c r="AC90" i="5" s="1"/>
  <c r="AC91" i="5" s="1"/>
  <c r="AC92" i="5" s="1"/>
  <c r="AC93" i="5" s="1"/>
  <c r="AC94" i="5" s="1"/>
  <c r="AC95" i="5" s="1"/>
  <c r="AC96" i="5" s="1"/>
  <c r="AC97" i="5" s="1"/>
  <c r="AC98" i="5" s="1"/>
  <c r="AC99" i="5" s="1"/>
  <c r="AC100" i="5" s="1"/>
  <c r="AC101" i="5" s="1"/>
  <c r="AC102" i="5" s="1"/>
  <c r="AD65" i="5"/>
  <c r="AD66" i="5" s="1"/>
  <c r="AD67" i="5" s="1"/>
  <c r="AD68" i="5" s="1"/>
  <c r="AE65" i="5"/>
  <c r="AE66" i="5" s="1"/>
  <c r="AE67" i="5" s="1"/>
  <c r="AE68" i="5" s="1"/>
  <c r="AF65" i="5"/>
  <c r="AF66" i="5" s="1"/>
  <c r="AF67" i="5" s="1"/>
  <c r="AF68" i="5" s="1"/>
  <c r="AG65" i="5"/>
  <c r="AG66" i="5"/>
  <c r="AG67" i="5" s="1"/>
  <c r="AG68" i="5" s="1"/>
  <c r="AH65" i="5"/>
  <c r="AH66" i="5" s="1"/>
  <c r="AH67" i="5" s="1"/>
  <c r="AH68" i="5" s="1"/>
  <c r="AI65" i="5"/>
  <c r="AI66" i="5" s="1"/>
  <c r="AI67" i="5" s="1"/>
  <c r="AI68" i="5" s="1"/>
  <c r="AJ65" i="5"/>
  <c r="AJ66" i="5" s="1"/>
  <c r="AJ67" i="5" s="1"/>
  <c r="AJ68" i="5" s="1"/>
  <c r="AK65" i="5"/>
  <c r="AK66" i="5" s="1"/>
  <c r="AK67" i="5" s="1"/>
  <c r="AK68" i="5" s="1"/>
  <c r="AL65" i="5"/>
  <c r="AL66" i="5" s="1"/>
  <c r="AL67" i="5" s="1"/>
  <c r="AL68" i="5" s="1"/>
  <c r="AM65" i="5"/>
  <c r="AM66" i="5"/>
  <c r="AM67" i="5" s="1"/>
  <c r="AM68" i="5" s="1"/>
  <c r="AN65" i="5"/>
  <c r="AN66" i="5" s="1"/>
  <c r="AN67" i="5" s="1"/>
  <c r="AN68" i="5" s="1"/>
  <c r="AO65" i="5"/>
  <c r="AO66" i="5" s="1"/>
  <c r="AO67" i="5" s="1"/>
  <c r="AO68" i="5" s="1"/>
  <c r="AP65" i="5"/>
  <c r="AP66" i="5" s="1"/>
  <c r="AP67" i="5" s="1"/>
  <c r="AP68" i="5" s="1"/>
  <c r="AQ65" i="5"/>
  <c r="AQ66" i="5" s="1"/>
  <c r="AQ67" i="5" s="1"/>
  <c r="AQ68" i="5" s="1"/>
  <c r="AR65" i="5"/>
  <c r="AR66" i="5" s="1"/>
  <c r="AR67" i="5" s="1"/>
  <c r="AR68" i="5" s="1"/>
  <c r="AS65" i="5"/>
  <c r="AS66" i="5" s="1"/>
  <c r="AS67" i="5" s="1"/>
  <c r="AS68" i="5" s="1"/>
  <c r="AT65" i="5"/>
  <c r="AT66" i="5" s="1"/>
  <c r="AT67" i="5" s="1"/>
  <c r="AT68" i="5" s="1"/>
  <c r="AU65" i="5"/>
  <c r="AU66" i="5" s="1"/>
  <c r="AU67" i="5" s="1"/>
  <c r="AU68" i="5" s="1"/>
  <c r="AV65" i="5"/>
  <c r="AV66" i="5" s="1"/>
  <c r="AV67" i="5" s="1"/>
  <c r="AV68" i="5" s="1"/>
  <c r="AW65" i="5"/>
  <c r="AW66" i="5" s="1"/>
  <c r="AW67" i="5" s="1"/>
  <c r="AW68" i="5" s="1"/>
  <c r="AX65" i="5"/>
  <c r="AX66" i="5" s="1"/>
  <c r="AX67" i="5" s="1"/>
  <c r="AX68" i="5" s="1"/>
  <c r="AY65" i="5"/>
  <c r="AY66" i="5" s="1"/>
  <c r="AY67" i="5" s="1"/>
  <c r="AY68" i="5" s="1"/>
  <c r="AZ65" i="5"/>
  <c r="AZ66" i="5" s="1"/>
  <c r="AZ67" i="5"/>
  <c r="AZ68" i="5" s="1"/>
  <c r="BA65" i="5"/>
  <c r="BA66" i="5" s="1"/>
  <c r="BA67" i="5" s="1"/>
  <c r="BA68" i="5" s="1"/>
  <c r="BB65" i="5"/>
  <c r="BB66" i="5" s="1"/>
  <c r="BB67" i="5"/>
  <c r="BB68" i="5" s="1"/>
  <c r="BC65" i="5"/>
  <c r="BC66" i="5" s="1"/>
  <c r="BC67" i="5" s="1"/>
  <c r="BC68" i="5" s="1"/>
  <c r="F93" i="10"/>
  <c r="E93" i="10"/>
  <c r="P117" i="10"/>
  <c r="F117" i="10"/>
  <c r="E96" i="10"/>
  <c r="U9" i="11"/>
  <c r="P93" i="10"/>
  <c r="G252" i="8"/>
  <c r="H252" i="8"/>
  <c r="F103" i="10"/>
  <c r="G103" i="10"/>
  <c r="I339" i="8"/>
  <c r="G104" i="10"/>
  <c r="F104" i="10"/>
  <c r="E104" i="10"/>
  <c r="Y9" i="5"/>
  <c r="Y10" i="5" s="1"/>
  <c r="T5" i="5"/>
  <c r="H339" i="8"/>
  <c r="F102" i="10"/>
  <c r="F94" i="10"/>
  <c r="P114" i="10"/>
  <c r="G102" i="10"/>
  <c r="G94" i="10"/>
  <c r="F115" i="10"/>
  <c r="I210" i="8"/>
  <c r="G30" i="8"/>
  <c r="G340" i="8"/>
  <c r="I22" i="8"/>
  <c r="H22" i="8"/>
  <c r="G22" i="8"/>
  <c r="H138" i="8"/>
  <c r="I138" i="8"/>
  <c r="I486" i="8"/>
  <c r="H574" i="8"/>
  <c r="I574" i="8"/>
  <c r="G324" i="8"/>
  <c r="G397" i="8"/>
  <c r="G294" i="8"/>
  <c r="G56" i="8"/>
  <c r="H56" i="8"/>
  <c r="G209" i="8"/>
  <c r="AF11" i="5"/>
  <c r="AF12" i="5"/>
  <c r="AF13" i="5" s="1"/>
  <c r="AF14" i="5" s="1"/>
  <c r="AE12" i="5"/>
  <c r="AE13" i="5" s="1"/>
  <c r="AE14" i="5" s="1"/>
  <c r="I18" i="5"/>
  <c r="I19" i="5" s="1"/>
  <c r="AS23" i="5"/>
  <c r="AR24" i="5"/>
  <c r="AR25" i="5" s="1"/>
  <c r="C84" i="9"/>
  <c r="F100" i="10"/>
  <c r="P100" i="10"/>
  <c r="K100" i="10" s="1"/>
  <c r="E100" i="10"/>
  <c r="J182" i="12"/>
  <c r="G101" i="10"/>
  <c r="E94" i="10"/>
  <c r="G146" i="8"/>
  <c r="H146" i="8"/>
  <c r="F108" i="10"/>
  <c r="P116" i="10"/>
  <c r="F116" i="10"/>
  <c r="R1" i="6"/>
  <c r="H342" i="8"/>
  <c r="U5" i="5"/>
  <c r="T6" i="5"/>
  <c r="T7" i="5" s="1"/>
  <c r="F110" i="10"/>
  <c r="P110" i="10"/>
  <c r="R18" i="5"/>
  <c r="R19" i="5"/>
  <c r="AA8" i="5"/>
  <c r="AA9" i="5" s="1"/>
  <c r="AA10" i="5"/>
  <c r="Z9" i="5"/>
  <c r="Z10" i="5"/>
  <c r="H30" i="8"/>
  <c r="I30" i="8"/>
  <c r="F95" i="12"/>
  <c r="N5" i="13"/>
  <c r="N6" i="13"/>
  <c r="N7" i="13" s="1"/>
  <c r="AB8" i="5"/>
  <c r="AB9" i="5" s="1"/>
  <c r="AB10" i="5" s="1"/>
  <c r="BC35" i="5"/>
  <c r="BC36" i="5" s="1"/>
  <c r="BC37" i="5" s="1"/>
  <c r="BC38" i="5" s="1"/>
  <c r="BB36" i="5"/>
  <c r="BB37" i="5" s="1"/>
  <c r="BB38" i="5" s="1"/>
  <c r="H268" i="8"/>
  <c r="G268" i="8"/>
  <c r="G109" i="12"/>
  <c r="G85" i="12"/>
  <c r="D87" i="9"/>
  <c r="K8" i="9"/>
  <c r="P1" i="6"/>
  <c r="N6" i="12"/>
  <c r="C86" i="9"/>
  <c r="C85" i="9"/>
  <c r="F92" i="12"/>
  <c r="H439" i="8"/>
  <c r="D84" i="9"/>
  <c r="D85" i="9"/>
  <c r="G103" i="12"/>
  <c r="G94" i="12"/>
  <c r="F110" i="12"/>
  <c r="O6" i="12"/>
  <c r="G116" i="12"/>
  <c r="D86" i="9"/>
  <c r="G84" i="12"/>
  <c r="AS24" i="5"/>
  <c r="AS25" i="5"/>
  <c r="AT23" i="5"/>
  <c r="G264" i="8"/>
  <c r="AC8" i="5"/>
  <c r="AD8" i="5" s="1"/>
  <c r="AL21" i="5"/>
  <c r="AL22" i="5" s="1"/>
  <c r="AM20" i="5"/>
  <c r="AM21" i="5"/>
  <c r="AM22" i="5" s="1"/>
  <c r="AC18" i="5"/>
  <c r="AC19" i="5" s="1"/>
  <c r="M6" i="13"/>
  <c r="F18" i="5"/>
  <c r="F19" i="5"/>
  <c r="V5" i="5"/>
  <c r="W5" i="5" s="1"/>
  <c r="U6" i="5"/>
  <c r="U7" i="5"/>
  <c r="P103" i="10"/>
  <c r="E103" i="10"/>
  <c r="E102" i="10"/>
  <c r="P102" i="10"/>
  <c r="G113" i="12"/>
  <c r="G105" i="12"/>
  <c r="G106" i="12"/>
  <c r="F92" i="10"/>
  <c r="I364" i="8"/>
  <c r="AM2" i="12"/>
  <c r="AM6" i="12"/>
  <c r="AU23" i="5"/>
  <c r="AV23" i="5" s="1"/>
  <c r="AW23" i="5" s="1"/>
  <c r="AU24" i="5"/>
  <c r="AU25" i="5" s="1"/>
  <c r="AT24" i="5"/>
  <c r="AT25" i="5" s="1"/>
  <c r="AN20" i="5"/>
  <c r="AV24" i="5"/>
  <c r="AV25" i="5" s="1"/>
  <c r="G478" i="8"/>
  <c r="H478" i="8"/>
  <c r="H409" i="8"/>
  <c r="I293" i="8"/>
  <c r="G293" i="8"/>
  <c r="H440" i="8"/>
  <c r="G440" i="8"/>
  <c r="G64" i="8"/>
  <c r="H64" i="8"/>
  <c r="G444" i="8"/>
  <c r="H444" i="8"/>
  <c r="I444" i="8"/>
  <c r="H489" i="8"/>
  <c r="H408" i="8"/>
  <c r="G516" i="8"/>
  <c r="G528" i="8"/>
  <c r="H528" i="8"/>
  <c r="F105" i="12"/>
  <c r="F96" i="12"/>
  <c r="G489" i="8"/>
  <c r="H481" i="8"/>
  <c r="H482" i="8"/>
  <c r="H447" i="8"/>
  <c r="H448" i="8"/>
  <c r="I324" i="8"/>
  <c r="G262" i="8"/>
  <c r="H180" i="8"/>
  <c r="H172" i="8"/>
  <c r="G74" i="8"/>
  <c r="J40" i="14" s="1"/>
  <c r="H74" i="8"/>
  <c r="L40" i="14" s="1"/>
  <c r="H86" i="8"/>
  <c r="L52" i="14" s="1"/>
  <c r="F113" i="12"/>
  <c r="AN21" i="5"/>
  <c r="AN22" i="5" s="1"/>
  <c r="AO20" i="5"/>
  <c r="M5" i="13"/>
  <c r="AG11" i="5"/>
  <c r="F109" i="10"/>
  <c r="P109" i="10"/>
  <c r="AM8" i="12"/>
  <c r="K40" i="8"/>
  <c r="H40" i="8" s="1"/>
  <c r="K111" i="8"/>
  <c r="G111" i="8" s="1"/>
  <c r="G68" i="14" s="1"/>
  <c r="K133" i="8"/>
  <c r="H133" i="8" s="1"/>
  <c r="K161" i="8"/>
  <c r="I161" i="8" s="1"/>
  <c r="K471" i="8"/>
  <c r="H471" i="8" s="1"/>
  <c r="K556" i="8"/>
  <c r="H556" i="8" s="1"/>
  <c r="K41" i="8"/>
  <c r="G41" i="8" s="1"/>
  <c r="K92" i="8"/>
  <c r="G92" i="8" s="1"/>
  <c r="P58" i="14" s="1"/>
  <c r="K113" i="8"/>
  <c r="H113" i="8" s="1"/>
  <c r="H69" i="14" s="1"/>
  <c r="K164" i="8"/>
  <c r="G164" i="8" s="1"/>
  <c r="K234" i="8"/>
  <c r="H234" i="8" s="1"/>
  <c r="G298" i="8"/>
  <c r="H298" i="8"/>
  <c r="K309" i="8"/>
  <c r="H309" i="8" s="1"/>
  <c r="K348" i="8"/>
  <c r="I348" i="8" s="1"/>
  <c r="K7" i="8"/>
  <c r="G7" i="8" s="1"/>
  <c r="K43" i="8"/>
  <c r="H43" i="8" s="1"/>
  <c r="K96" i="8"/>
  <c r="G96" i="8" s="1"/>
  <c r="P60" i="14" s="1"/>
  <c r="K116" i="8"/>
  <c r="G116" i="8" s="1"/>
  <c r="P70" i="14" s="1"/>
  <c r="K191" i="8"/>
  <c r="G191" i="8" s="1"/>
  <c r="K238" i="8"/>
  <c r="I238" i="8" s="1"/>
  <c r="K312" i="8"/>
  <c r="H312" i="8" s="1"/>
  <c r="K350" i="8"/>
  <c r="H350" i="8" s="1"/>
  <c r="K550" i="8"/>
  <c r="H550" i="8" s="1"/>
  <c r="K470" i="8"/>
  <c r="G470" i="8" s="1"/>
  <c r="K434" i="8"/>
  <c r="I434" i="8" s="1"/>
  <c r="K387" i="8"/>
  <c r="H387" i="8" s="1"/>
  <c r="K382" i="8"/>
  <c r="G382" i="8" s="1"/>
  <c r="K353" i="8"/>
  <c r="G353" i="8" s="1"/>
  <c r="K318" i="8"/>
  <c r="I318" i="8" s="1"/>
  <c r="K287" i="8"/>
  <c r="G287" i="8" s="1"/>
  <c r="K282" i="8"/>
  <c r="I282" i="8" s="1"/>
  <c r="K243" i="8"/>
  <c r="G243" i="8" s="1"/>
  <c r="K237" i="8"/>
  <c r="G237" i="8" s="1"/>
  <c r="K200" i="8"/>
  <c r="H200" i="8" s="1"/>
  <c r="K194" i="8"/>
  <c r="G194" i="8" s="1"/>
  <c r="K158" i="8"/>
  <c r="K153" i="8"/>
  <c r="G153" i="8" s="1"/>
  <c r="K110" i="8"/>
  <c r="I110" i="8" s="1"/>
  <c r="R67" i="14" s="1"/>
  <c r="K106" i="8"/>
  <c r="H106" i="8" s="1"/>
  <c r="Q65" i="14" s="1"/>
  <c r="K100" i="8"/>
  <c r="G100" i="8" s="1"/>
  <c r="P62" i="14" s="1"/>
  <c r="K95" i="8"/>
  <c r="I95" i="8" s="1"/>
  <c r="I60" i="14" s="1"/>
  <c r="K90" i="8"/>
  <c r="G90" i="8" s="1"/>
  <c r="P57" i="14" s="1"/>
  <c r="K37" i="8"/>
  <c r="G37" i="8" s="1"/>
  <c r="K555" i="8"/>
  <c r="K549" i="8"/>
  <c r="G549" i="8" s="1"/>
  <c r="K544" i="8"/>
  <c r="K505" i="8"/>
  <c r="G505" i="8" s="1"/>
  <c r="K469" i="8"/>
  <c r="I469" i="8" s="1"/>
  <c r="K464" i="8"/>
  <c r="G464" i="8" s="1"/>
  <c r="K428" i="8"/>
  <c r="I428" i="8" s="1"/>
  <c r="K422" i="8"/>
  <c r="I422" i="8" s="1"/>
  <c r="K386" i="8"/>
  <c r="I386" i="8" s="1"/>
  <c r="K347" i="8"/>
  <c r="G347" i="8" s="1"/>
  <c r="K317" i="8"/>
  <c r="H317" i="8" s="1"/>
  <c r="K311" i="8"/>
  <c r="H311" i="8" s="1"/>
  <c r="K286" i="8"/>
  <c r="H286" i="8" s="1"/>
  <c r="K276" i="8"/>
  <c r="H276" i="8" s="1"/>
  <c r="K242" i="8"/>
  <c r="G242" i="8" s="1"/>
  <c r="K199" i="8"/>
  <c r="H199" i="8" s="1"/>
  <c r="K193" i="8"/>
  <c r="K163" i="8"/>
  <c r="I163" i="8" s="1"/>
  <c r="K132" i="8"/>
  <c r="H132" i="8" s="1"/>
  <c r="K127" i="8"/>
  <c r="G127" i="8" s="1"/>
  <c r="K120" i="8"/>
  <c r="G120" i="8" s="1"/>
  <c r="P72" i="14" s="1"/>
  <c r="K115" i="8"/>
  <c r="I115" i="8" s="1"/>
  <c r="I70" i="14" s="1"/>
  <c r="K105" i="8"/>
  <c r="G105" i="8" s="1"/>
  <c r="G65" i="14" s="1"/>
  <c r="K94" i="8"/>
  <c r="H94" i="8" s="1"/>
  <c r="Q59" i="14" s="1"/>
  <c r="K89" i="8"/>
  <c r="G89" i="8" s="1"/>
  <c r="G57" i="14" s="1"/>
  <c r="K42" i="8"/>
  <c r="G42" i="8" s="1"/>
  <c r="K36" i="8"/>
  <c r="H36" i="8" s="1"/>
  <c r="K10" i="8"/>
  <c r="G10" i="8" s="1"/>
  <c r="K554" i="8"/>
  <c r="G554" i="8" s="1"/>
  <c r="K543" i="8"/>
  <c r="G543" i="8" s="1"/>
  <c r="K504" i="8"/>
  <c r="K468" i="8"/>
  <c r="I468" i="8" s="1"/>
  <c r="K433" i="8"/>
  <c r="I433" i="8" s="1"/>
  <c r="K427" i="8"/>
  <c r="K381" i="8"/>
  <c r="G381" i="8" s="1"/>
  <c r="K356" i="8"/>
  <c r="H356" i="8" s="1"/>
  <c r="K352" i="8"/>
  <c r="H352" i="8" s="1"/>
  <c r="K316" i="8"/>
  <c r="H316" i="8" s="1"/>
  <c r="K285" i="8"/>
  <c r="G285" i="8" s="1"/>
  <c r="K281" i="8"/>
  <c r="G281" i="8" s="1"/>
  <c r="K241" i="8"/>
  <c r="H241" i="8" s="1"/>
  <c r="K236" i="8"/>
  <c r="G236" i="8" s="1"/>
  <c r="K198" i="8"/>
  <c r="H198" i="8" s="1"/>
  <c r="K157" i="8"/>
  <c r="I157" i="8" s="1"/>
  <c r="K126" i="8"/>
  <c r="G126" i="8" s="1"/>
  <c r="K119" i="8"/>
  <c r="G119" i="8" s="1"/>
  <c r="G72" i="14" s="1"/>
  <c r="K109" i="8"/>
  <c r="I109" i="8" s="1"/>
  <c r="I67" i="14" s="1"/>
  <c r="K99" i="8"/>
  <c r="G99" i="8" s="1"/>
  <c r="G62" i="14" s="1"/>
  <c r="K93" i="8"/>
  <c r="I93" i="8" s="1"/>
  <c r="I59" i="14" s="1"/>
  <c r="K9" i="8"/>
  <c r="G9" i="8" s="1"/>
  <c r="K548" i="8"/>
  <c r="H548" i="8" s="1"/>
  <c r="K508" i="8"/>
  <c r="G508" i="8" s="1"/>
  <c r="K503" i="8"/>
  <c r="H503" i="8" s="1"/>
  <c r="K467" i="8"/>
  <c r="G467" i="8" s="1"/>
  <c r="K463" i="8"/>
  <c r="G463" i="8" s="1"/>
  <c r="K432" i="8"/>
  <c r="K426" i="8"/>
  <c r="G426" i="8" s="1"/>
  <c r="K421" i="8"/>
  <c r="K390" i="8"/>
  <c r="G390" i="8" s="1"/>
  <c r="K385" i="8"/>
  <c r="G385" i="8" s="1"/>
  <c r="K351" i="8"/>
  <c r="H351" i="8" s="1"/>
  <c r="K310" i="8"/>
  <c r="G310" i="8" s="1"/>
  <c r="K275" i="8"/>
  <c r="I275" i="8" s="1"/>
  <c r="K235" i="8"/>
  <c r="K192" i="8"/>
  <c r="K162" i="8"/>
  <c r="H162" i="8" s="1"/>
  <c r="K156" i="8"/>
  <c r="G156" i="8" s="1"/>
  <c r="K131" i="8"/>
  <c r="I131" i="8" s="1"/>
  <c r="K118" i="8"/>
  <c r="I118" i="8" s="1"/>
  <c r="R71" i="14" s="1"/>
  <c r="K114" i="8"/>
  <c r="I114" i="8" s="1"/>
  <c r="R69" i="14" s="1"/>
  <c r="K104" i="8"/>
  <c r="G104" i="8" s="1"/>
  <c r="P64" i="14" s="1"/>
  <c r="K557" i="8"/>
  <c r="K547" i="8"/>
  <c r="G547" i="8" s="1"/>
  <c r="K507" i="8"/>
  <c r="H507" i="8" s="1"/>
  <c r="K466" i="8"/>
  <c r="G466" i="8" s="1"/>
  <c r="K461" i="8"/>
  <c r="H461" i="8" s="1"/>
  <c r="K425" i="8"/>
  <c r="I425" i="8" s="1"/>
  <c r="K420" i="8"/>
  <c r="I420" i="8" s="1"/>
  <c r="K389" i="8"/>
  <c r="G389" i="8" s="1"/>
  <c r="K349" i="8"/>
  <c r="H349" i="8" s="1"/>
  <c r="K314" i="8"/>
  <c r="H314" i="8" s="1"/>
  <c r="K308" i="8"/>
  <c r="K279" i="8"/>
  <c r="G279" i="8" s="1"/>
  <c r="K274" i="8"/>
  <c r="H274" i="8" s="1"/>
  <c r="K233" i="8"/>
  <c r="G233" i="8" s="1"/>
  <c r="K202" i="8"/>
  <c r="H202" i="8" s="1"/>
  <c r="K196" i="8"/>
  <c r="I196" i="8" s="1"/>
  <c r="K165" i="8"/>
  <c r="I165" i="8" s="1"/>
  <c r="K155" i="8"/>
  <c r="I155" i="8" s="1"/>
  <c r="K134" i="8"/>
  <c r="G134" i="8" s="1"/>
  <c r="K130" i="8"/>
  <c r="I130" i="8" s="1"/>
  <c r="K117" i="8"/>
  <c r="I117" i="8" s="1"/>
  <c r="I71" i="14" s="1"/>
  <c r="K102" i="8"/>
  <c r="G102" i="8" s="1"/>
  <c r="P63" i="14" s="1"/>
  <c r="K97" i="8"/>
  <c r="H97" i="8" s="1"/>
  <c r="H61" i="14" s="1"/>
  <c r="K44" i="8"/>
  <c r="H44" i="8" s="1"/>
  <c r="K39" i="8"/>
  <c r="H39" i="8" s="1"/>
  <c r="K13" i="8"/>
  <c r="G13" i="8" s="1"/>
  <c r="K6" i="8"/>
  <c r="G6" i="8" s="1"/>
  <c r="K552" i="8"/>
  <c r="H552" i="8" s="1"/>
  <c r="K546" i="8"/>
  <c r="G546" i="8" s="1"/>
  <c r="K501" i="8"/>
  <c r="G501" i="8" s="1"/>
  <c r="K460" i="8"/>
  <c r="H460" i="8" s="1"/>
  <c r="K430" i="8"/>
  <c r="I430" i="8" s="1"/>
  <c r="K424" i="8"/>
  <c r="K419" i="8"/>
  <c r="H419" i="8" s="1"/>
  <c r="K388" i="8"/>
  <c r="K383" i="8"/>
  <c r="K354" i="8"/>
  <c r="I354" i="8" s="1"/>
  <c r="K319" i="8"/>
  <c r="H319" i="8" s="1"/>
  <c r="K313" i="8"/>
  <c r="I313" i="8" s="1"/>
  <c r="K283" i="8"/>
  <c r="H283" i="8" s="1"/>
  <c r="K278" i="8"/>
  <c r="K239" i="8"/>
  <c r="I239" i="8" s="1"/>
  <c r="K201" i="8"/>
  <c r="H201" i="8" s="1"/>
  <c r="K160" i="8"/>
  <c r="H160" i="8" s="1"/>
  <c r="K129" i="8"/>
  <c r="G129" i="8" s="1"/>
  <c r="K112" i="8"/>
  <c r="G112" i="8" s="1"/>
  <c r="P68" i="14" s="1"/>
  <c r="K107" i="8"/>
  <c r="G107" i="8" s="1"/>
  <c r="G66" i="14" s="1"/>
  <c r="K91" i="8"/>
  <c r="I91" i="8" s="1"/>
  <c r="I58" i="14" s="1"/>
  <c r="K12" i="8"/>
  <c r="K8" i="8"/>
  <c r="G8" i="8" s="1"/>
  <c r="K45" i="8"/>
  <c r="I45" i="8" s="1"/>
  <c r="K98" i="8"/>
  <c r="I98" i="8" s="1"/>
  <c r="R61" i="14" s="1"/>
  <c r="K195" i="8"/>
  <c r="I195" i="8" s="1"/>
  <c r="K240" i="8"/>
  <c r="H240" i="8" s="1"/>
  <c r="K315" i="8"/>
  <c r="I315" i="8" s="1"/>
  <c r="K500" i="8"/>
  <c r="F103" i="12"/>
  <c r="K11" i="8"/>
  <c r="H11" i="8" s="1"/>
  <c r="K101" i="8"/>
  <c r="G101" i="8" s="1"/>
  <c r="G63" i="14" s="1"/>
  <c r="K197" i="8"/>
  <c r="I197" i="8" s="1"/>
  <c r="K277" i="8"/>
  <c r="H277" i="8" s="1"/>
  <c r="K355" i="8"/>
  <c r="G355" i="8" s="1"/>
  <c r="K429" i="8"/>
  <c r="H429" i="8" s="1"/>
  <c r="K459" i="8"/>
  <c r="I459" i="8" s="1"/>
  <c r="K502" i="8"/>
  <c r="I502" i="8" s="1"/>
  <c r="K545" i="8"/>
  <c r="G545" i="8" s="1"/>
  <c r="K103" i="8"/>
  <c r="G103" i="8" s="1"/>
  <c r="G64" i="14" s="1"/>
  <c r="K154" i="8"/>
  <c r="I154" i="8" s="1"/>
  <c r="K280" i="8"/>
  <c r="H280" i="8" s="1"/>
  <c r="K320" i="8"/>
  <c r="G320" i="8" s="1"/>
  <c r="K431" i="8"/>
  <c r="K462" i="8"/>
  <c r="G462" i="8" s="1"/>
  <c r="K506" i="8"/>
  <c r="H506" i="8" s="1"/>
  <c r="K128" i="8"/>
  <c r="G128" i="8" s="1"/>
  <c r="K465" i="8"/>
  <c r="G465" i="8" s="1"/>
  <c r="K551" i="8"/>
  <c r="H551" i="8" s="1"/>
  <c r="K33" i="8"/>
  <c r="K68" i="8"/>
  <c r="K124" i="8"/>
  <c r="I124" i="8" s="1"/>
  <c r="K149" i="8"/>
  <c r="I149" i="8" s="1"/>
  <c r="K190" i="8"/>
  <c r="K455" i="8"/>
  <c r="I455" i="8" s="1"/>
  <c r="K540" i="8"/>
  <c r="G540" i="8" s="1"/>
  <c r="K125" i="8"/>
  <c r="I125" i="8" s="1"/>
  <c r="K136" i="8"/>
  <c r="I136" i="8" s="1"/>
  <c r="K151" i="8"/>
  <c r="K230" i="8"/>
  <c r="I230" i="8" s="1"/>
  <c r="K345" i="8"/>
  <c r="G345" i="8" s="1"/>
  <c r="K380" i="8"/>
  <c r="K416" i="8"/>
  <c r="G416" i="8" s="1"/>
  <c r="K456" i="8"/>
  <c r="G456" i="8" s="1"/>
  <c r="K498" i="8"/>
  <c r="K542" i="8"/>
  <c r="I542" i="8" s="1"/>
  <c r="K71" i="8"/>
  <c r="I71" i="8" s="1"/>
  <c r="N37" i="14" s="1"/>
  <c r="K152" i="8"/>
  <c r="G152" i="8" s="1"/>
  <c r="K346" i="8"/>
  <c r="K417" i="8"/>
  <c r="G417" i="8" s="1"/>
  <c r="K47" i="8"/>
  <c r="K231" i="8"/>
  <c r="G231" i="8" s="1"/>
  <c r="K271" i="8"/>
  <c r="G271" i="8" s="1"/>
  <c r="K587" i="8"/>
  <c r="I587" i="8" s="1"/>
  <c r="N75" i="14" s="1"/>
  <c r="K16" i="8"/>
  <c r="I16" i="8" s="1"/>
  <c r="K272" i="8"/>
  <c r="G272" i="8" s="1"/>
  <c r="K458" i="8"/>
  <c r="I458" i="8" s="1"/>
  <c r="F114" i="12"/>
  <c r="F116" i="12"/>
  <c r="AH11" i="5"/>
  <c r="AG12" i="5"/>
  <c r="AG13" i="5" s="1"/>
  <c r="AG14" i="5" s="1"/>
  <c r="AO21" i="5"/>
  <c r="AO22" i="5" s="1"/>
  <c r="AP20" i="5"/>
  <c r="AP21" i="5"/>
  <c r="AP22" i="5" s="1"/>
  <c r="AQ20" i="5"/>
  <c r="AR20" i="5" s="1"/>
  <c r="F118" i="12"/>
  <c r="AH12" i="5"/>
  <c r="AH13" i="5"/>
  <c r="AH14" i="5" s="1"/>
  <c r="AI11" i="5"/>
  <c r="F115" i="12"/>
  <c r="AQ21" i="5"/>
  <c r="AQ22" i="5" s="1"/>
  <c r="F32" i="9"/>
  <c r="H41" i="9"/>
  <c r="F56" i="9"/>
  <c r="F40" i="9"/>
  <c r="H64" i="9"/>
  <c r="H52" i="9"/>
  <c r="H65" i="9"/>
  <c r="H58" i="9"/>
  <c r="H32" i="9"/>
  <c r="F47" i="9"/>
  <c r="F36" i="9"/>
  <c r="H50" i="9"/>
  <c r="H54" i="9"/>
  <c r="J46" i="9"/>
  <c r="F53" i="9"/>
  <c r="J36" i="9"/>
  <c r="F39" i="9"/>
  <c r="J38" i="9"/>
  <c r="H51" i="9"/>
  <c r="H60" i="9"/>
  <c r="F50" i="9"/>
  <c r="O16" i="15" l="1"/>
  <c r="O15" i="15"/>
  <c r="O5" i="15"/>
  <c r="O18" i="15"/>
  <c r="A15" i="15"/>
  <c r="O22" i="15"/>
  <c r="O14" i="15"/>
  <c r="O4" i="15"/>
  <c r="H3" i="13"/>
  <c r="T5" i="18"/>
  <c r="T4" i="18" s="1"/>
  <c r="T3" i="18" s="1"/>
  <c r="T15" i="18" s="1"/>
  <c r="S5" i="18"/>
  <c r="S4" i="18" s="1"/>
  <c r="S3" i="18" s="1"/>
  <c r="S15" i="18" s="1"/>
  <c r="F1" i="18" s="1"/>
  <c r="T6" i="18"/>
  <c r="T7" i="18" s="1"/>
  <c r="T8" i="18" s="1"/>
  <c r="S6" i="18"/>
  <c r="S7" i="18" s="1"/>
  <c r="S8" i="18" s="1"/>
  <c r="H81" i="8"/>
  <c r="L47" i="14" s="1"/>
  <c r="I263" i="8"/>
  <c r="I359" i="8"/>
  <c r="H326" i="8"/>
  <c r="H176" i="8"/>
  <c r="G366" i="8"/>
  <c r="G342" i="8"/>
  <c r="G327" i="8"/>
  <c r="I301" i="8"/>
  <c r="H26" i="8"/>
  <c r="H292" i="8"/>
  <c r="G400" i="8"/>
  <c r="G292" i="8"/>
  <c r="G25" i="8"/>
  <c r="G408" i="8"/>
  <c r="G301" i="8"/>
  <c r="G145" i="8"/>
  <c r="H184" i="8"/>
  <c r="I334" i="8"/>
  <c r="G300" i="8"/>
  <c r="G446" i="8"/>
  <c r="I246" i="8"/>
  <c r="I335" i="8"/>
  <c r="I137" i="8"/>
  <c r="I247" i="8"/>
  <c r="H335" i="8"/>
  <c r="H565" i="8"/>
  <c r="G60" i="8"/>
  <c r="H359" i="8"/>
  <c r="H476" i="8"/>
  <c r="G254" i="8"/>
  <c r="I327" i="8"/>
  <c r="I213" i="8"/>
  <c r="H262" i="8"/>
  <c r="H485" i="8"/>
  <c r="H563" i="8"/>
  <c r="I182" i="8"/>
  <c r="G50" i="8"/>
  <c r="G483" i="8"/>
  <c r="G261" i="8"/>
  <c r="I50" i="8"/>
  <c r="G365" i="8"/>
  <c r="H58" i="8"/>
  <c r="I325" i="8"/>
  <c r="H219" i="8"/>
  <c r="I211" i="8"/>
  <c r="G341" i="8"/>
  <c r="I219" i="8"/>
  <c r="H341" i="8"/>
  <c r="G24" i="8"/>
  <c r="H211" i="8"/>
  <c r="G475" i="8"/>
  <c r="I365" i="8"/>
  <c r="H174" i="8"/>
  <c r="G253" i="8"/>
  <c r="H406" i="8"/>
  <c r="G192" i="8"/>
  <c r="H192" i="8"/>
  <c r="I221" i="8"/>
  <c r="H221" i="8"/>
  <c r="I193" i="8"/>
  <c r="H193" i="8"/>
  <c r="G216" i="8"/>
  <c r="I216" i="8"/>
  <c r="C31" i="16"/>
  <c r="C32" i="16"/>
  <c r="C30" i="16"/>
  <c r="C29" i="16"/>
  <c r="C28" i="16"/>
  <c r="E148" i="12"/>
  <c r="K17" i="14"/>
  <c r="L17" i="14" s="1"/>
  <c r="I2" i="16"/>
  <c r="C21" i="16" s="1"/>
  <c r="C85" i="16"/>
  <c r="C84" i="16"/>
  <c r="C83" i="16"/>
  <c r="C82" i="16"/>
  <c r="C81" i="16"/>
  <c r="C86" i="16"/>
  <c r="C87" i="16"/>
  <c r="C24" i="16"/>
  <c r="C26" i="16"/>
  <c r="C27" i="16"/>
  <c r="C25" i="16"/>
  <c r="C80" i="16"/>
  <c r="C78" i="16"/>
  <c r="C72" i="16"/>
  <c r="C77" i="16"/>
  <c r="C76" i="16"/>
  <c r="C75" i="16"/>
  <c r="C74" i="16"/>
  <c r="C73" i="16"/>
  <c r="C79" i="16"/>
  <c r="C51" i="16"/>
  <c r="C50" i="16"/>
  <c r="C57" i="16"/>
  <c r="C52" i="16"/>
  <c r="C56" i="16"/>
  <c r="C55" i="16"/>
  <c r="C54" i="16"/>
  <c r="C53" i="16"/>
  <c r="K18" i="14" s="1"/>
  <c r="L18" i="14" s="1"/>
  <c r="K39" i="10"/>
  <c r="H39" i="10" s="1"/>
  <c r="L39" i="10"/>
  <c r="P24" i="10"/>
  <c r="M24" i="10" s="1"/>
  <c r="K33" i="10"/>
  <c r="H33" i="10" s="1"/>
  <c r="K23" i="10"/>
  <c r="H23" i="10" s="1"/>
  <c r="E23" i="10" s="1"/>
  <c r="K35" i="10"/>
  <c r="H35" i="10" s="1"/>
  <c r="L35" i="10"/>
  <c r="F35" i="10" s="1"/>
  <c r="P36" i="10"/>
  <c r="M36" i="10" s="1"/>
  <c r="G36" i="10" s="1"/>
  <c r="L36" i="10"/>
  <c r="K21" i="10"/>
  <c r="H21" i="10" s="1"/>
  <c r="K22" i="10"/>
  <c r="H22" i="10" s="1"/>
  <c r="L113" i="10"/>
  <c r="J202" i="9"/>
  <c r="R11" i="10"/>
  <c r="P11" i="10" s="1"/>
  <c r="L109" i="10"/>
  <c r="F182" i="12"/>
  <c r="Q428" i="8"/>
  <c r="Q14" i="8"/>
  <c r="Q430" i="8"/>
  <c r="E202" i="9"/>
  <c r="L115" i="10"/>
  <c r="G182" i="12"/>
  <c r="Q287" i="8"/>
  <c r="Q274" i="8"/>
  <c r="L117" i="10"/>
  <c r="Q556" i="8"/>
  <c r="Q319" i="8"/>
  <c r="Q39" i="8"/>
  <c r="Q118" i="8"/>
  <c r="Q116" i="8"/>
  <c r="L4" i="14"/>
  <c r="Q312" i="8"/>
  <c r="Q383" i="8"/>
  <c r="Q381" i="8"/>
  <c r="Q106" i="8"/>
  <c r="Q194" i="8"/>
  <c r="Q44" i="8"/>
  <c r="Q459" i="8"/>
  <c r="Q431" i="8"/>
  <c r="R64" i="10"/>
  <c r="F64" i="10" s="1"/>
  <c r="Q193" i="8"/>
  <c r="Q318" i="8"/>
  <c r="Q317" i="8"/>
  <c r="Q281" i="8"/>
  <c r="Q275" i="8"/>
  <c r="Q310" i="8"/>
  <c r="Q235" i="8"/>
  <c r="Q130" i="8"/>
  <c r="Q119" i="8"/>
  <c r="D202" i="9"/>
  <c r="Q126" i="8"/>
  <c r="Q8" i="8"/>
  <c r="Q384" i="8"/>
  <c r="R12" i="10"/>
  <c r="Q98" i="8"/>
  <c r="Q350" i="8"/>
  <c r="Q471" i="8"/>
  <c r="Q463" i="8"/>
  <c r="Q234" i="8"/>
  <c r="Q113" i="8"/>
  <c r="Q392" i="8"/>
  <c r="Q286" i="8"/>
  <c r="Q165" i="8"/>
  <c r="Q47" i="8"/>
  <c r="Q320" i="8"/>
  <c r="Q91" i="8"/>
  <c r="Q352" i="8"/>
  <c r="Q96" i="8"/>
  <c r="Q357" i="8"/>
  <c r="Q429" i="8"/>
  <c r="Q117" i="8"/>
  <c r="Q382" i="8"/>
  <c r="Q422" i="8"/>
  <c r="Q240" i="8"/>
  <c r="Q110" i="8"/>
  <c r="I182" i="12"/>
  <c r="Q423" i="8"/>
  <c r="Q241" i="8"/>
  <c r="Q111" i="8"/>
  <c r="Q560" i="8"/>
  <c r="Q420" i="8"/>
  <c r="Q238" i="8"/>
  <c r="Q108" i="8"/>
  <c r="Q385" i="8"/>
  <c r="Q512" i="8"/>
  <c r="Q38" i="8"/>
  <c r="Q349" i="8"/>
  <c r="Q134" i="8"/>
  <c r="Q37" i="8"/>
  <c r="Q464" i="8"/>
  <c r="Q351" i="8"/>
  <c r="Q236" i="8"/>
  <c r="Q99" i="8"/>
  <c r="Q386" i="8"/>
  <c r="Q107" i="8"/>
  <c r="Q419" i="8"/>
  <c r="Q112" i="8"/>
  <c r="Q424" i="8"/>
  <c r="Q421" i="8"/>
  <c r="Q239" i="8"/>
  <c r="Q109" i="8"/>
  <c r="Q554" i="8"/>
  <c r="Q389" i="8"/>
  <c r="Q207" i="8"/>
  <c r="Q102" i="8"/>
  <c r="Q555" i="8"/>
  <c r="Q390" i="8"/>
  <c r="Q233" i="8"/>
  <c r="Q103" i="8"/>
  <c r="Q552" i="8"/>
  <c r="Q387" i="8"/>
  <c r="Q205" i="8"/>
  <c r="Q100" i="8"/>
  <c r="Q426" i="8"/>
  <c r="Q202" i="8"/>
  <c r="Q127" i="8"/>
  <c r="Q157" i="8"/>
  <c r="Q243" i="8"/>
  <c r="Q71" i="8"/>
  <c r="Q45" i="8"/>
  <c r="Q513" i="8"/>
  <c r="Q432" i="8"/>
  <c r="Q309" i="8"/>
  <c r="Q115" i="8"/>
  <c r="Q427" i="8"/>
  <c r="Q128" i="8"/>
  <c r="Q435" i="8"/>
  <c r="Q133" i="8"/>
  <c r="Q462" i="8"/>
  <c r="Q388" i="8"/>
  <c r="Q206" i="8"/>
  <c r="Q101" i="8"/>
  <c r="Q546" i="8"/>
  <c r="Q355" i="8"/>
  <c r="Q199" i="8"/>
  <c r="Q94" i="8"/>
  <c r="Q547" i="8"/>
  <c r="Q356" i="8"/>
  <c r="Q200" i="8"/>
  <c r="Q95" i="8"/>
  <c r="Q544" i="8"/>
  <c r="Q353" i="8"/>
  <c r="Q197" i="8"/>
  <c r="Q92" i="8"/>
  <c r="Q425" i="8"/>
  <c r="Q549" i="8"/>
  <c r="Q278" i="8"/>
  <c r="Q311" i="8"/>
  <c r="Q155" i="8"/>
  <c r="Q105" i="8"/>
  <c r="Q13" i="8"/>
  <c r="Q504" i="8"/>
  <c r="Q358" i="8"/>
  <c r="Q136" i="8"/>
  <c r="Q465" i="8"/>
  <c r="Q158" i="8"/>
  <c r="Q473" i="8"/>
  <c r="Q163" i="8"/>
  <c r="Q503" i="8"/>
  <c r="Q545" i="8"/>
  <c r="Q354" i="8"/>
  <c r="Q198" i="8"/>
  <c r="Q93" i="8"/>
  <c r="Q509" i="8"/>
  <c r="Q347" i="8"/>
  <c r="Q191" i="8"/>
  <c r="Q510" i="8"/>
  <c r="Q348" i="8"/>
  <c r="Q192" i="8"/>
  <c r="Q70" i="8"/>
  <c r="Q507" i="8"/>
  <c r="Q321" i="8"/>
  <c r="Q167" i="8"/>
  <c r="Q48" i="8"/>
  <c r="L114" i="10"/>
  <c r="Q277" i="8"/>
  <c r="Q203" i="8"/>
  <c r="Q470" i="8"/>
  <c r="Q472" i="8"/>
  <c r="Q89" i="8"/>
  <c r="Q511" i="8"/>
  <c r="Q135" i="8"/>
  <c r="Q90" i="8"/>
  <c r="Q557" i="8"/>
  <c r="Q433" i="8"/>
  <c r="Q166" i="8"/>
  <c r="Q506" i="8"/>
  <c r="Q196" i="8"/>
  <c r="Q543" i="8"/>
  <c r="Q201" i="8"/>
  <c r="Q548" i="8"/>
  <c r="Q508" i="8"/>
  <c r="Q322" i="8"/>
  <c r="Q168" i="8"/>
  <c r="Q501" i="8"/>
  <c r="Q315" i="8"/>
  <c r="Q161" i="8"/>
  <c r="Q42" i="8"/>
  <c r="Q502" i="8"/>
  <c r="Q316" i="8"/>
  <c r="Q162" i="8"/>
  <c r="Q43" i="8"/>
  <c r="Q474" i="8"/>
  <c r="Q313" i="8"/>
  <c r="Q159" i="8"/>
  <c r="Q40" i="8"/>
  <c r="K72" i="10"/>
  <c r="Q553" i="8"/>
  <c r="Q391" i="8"/>
  <c r="Q244" i="8"/>
  <c r="Q12" i="8"/>
  <c r="Q550" i="8"/>
  <c r="Q393" i="8"/>
  <c r="Q195" i="8"/>
  <c r="Q120" i="8"/>
  <c r="Q36" i="8"/>
  <c r="Q505" i="8"/>
  <c r="Q204" i="8"/>
  <c r="Q551" i="8"/>
  <c r="Q237" i="8"/>
  <c r="Q559" i="8"/>
  <c r="Q242" i="8"/>
  <c r="Q500" i="8"/>
  <c r="Q314" i="8"/>
  <c r="Q160" i="8"/>
  <c r="Q41" i="8"/>
  <c r="Q468" i="8"/>
  <c r="Q290" i="8"/>
  <c r="Q153" i="8"/>
  <c r="Q17" i="8"/>
  <c r="Q469" i="8"/>
  <c r="Q308" i="8"/>
  <c r="Q154" i="8"/>
  <c r="Q18" i="8"/>
  <c r="Q466" i="8"/>
  <c r="Q288" i="8"/>
  <c r="Q15" i="8"/>
  <c r="G202" i="9"/>
  <c r="R68" i="10"/>
  <c r="F68" i="10" s="1"/>
  <c r="Q104" i="8"/>
  <c r="Q46" i="8"/>
  <c r="Q156" i="8"/>
  <c r="Q434" i="8"/>
  <c r="Q285" i="8"/>
  <c r="Q276" i="8"/>
  <c r="Q164" i="8"/>
  <c r="Q97" i="8"/>
  <c r="Q558" i="8"/>
  <c r="Q245" i="8"/>
  <c r="Q6" i="8"/>
  <c r="Q279" i="8"/>
  <c r="Q11" i="8"/>
  <c r="Q284" i="8"/>
  <c r="Q467" i="8"/>
  <c r="Q289" i="8"/>
  <c r="Q16" i="8"/>
  <c r="Q460" i="8"/>
  <c r="Q282" i="8"/>
  <c r="Q131" i="8"/>
  <c r="Q9" i="8"/>
  <c r="Q461" i="8"/>
  <c r="Q283" i="8"/>
  <c r="Q132" i="8"/>
  <c r="Q10" i="8"/>
  <c r="Q436" i="8"/>
  <c r="Q280" i="8"/>
  <c r="Q129" i="8"/>
  <c r="Q7" i="8"/>
  <c r="C3" i="1"/>
  <c r="C4" i="1" s="1"/>
  <c r="C5" i="1" s="1"/>
  <c r="I3" i="1"/>
  <c r="I4" i="1" s="1"/>
  <c r="AB16" i="14" s="1"/>
  <c r="N4" i="14"/>
  <c r="I202" i="9"/>
  <c r="R13" i="10"/>
  <c r="P13" i="10" s="1"/>
  <c r="G3" i="1"/>
  <c r="H4" i="9" s="1"/>
  <c r="H202" i="9"/>
  <c r="R1" i="14"/>
  <c r="Q114" i="8"/>
  <c r="N1" i="14"/>
  <c r="Q3" i="8"/>
  <c r="Q4" i="8"/>
  <c r="Q5" i="8"/>
  <c r="E72" i="10"/>
  <c r="R49" i="10"/>
  <c r="F49" i="10" s="1"/>
  <c r="M74" i="10"/>
  <c r="G74" i="10" s="1"/>
  <c r="E74" i="10"/>
  <c r="P74" i="10"/>
  <c r="K3" i="1"/>
  <c r="L4" i="9" s="1"/>
  <c r="P4" i="14"/>
  <c r="H182" i="12"/>
  <c r="L1" i="14"/>
  <c r="L110" i="10"/>
  <c r="E101" i="10"/>
  <c r="R48" i="10"/>
  <c r="P48" i="10" s="1"/>
  <c r="M48" i="10" s="1"/>
  <c r="P28" i="10"/>
  <c r="M28" i="10" s="1"/>
  <c r="K28" i="10"/>
  <c r="H28" i="10" s="1"/>
  <c r="H31" i="13"/>
  <c r="G37" i="13"/>
  <c r="I15" i="13"/>
  <c r="G21" i="13"/>
  <c r="H14" i="13"/>
  <c r="H41" i="13"/>
  <c r="H18" i="13"/>
  <c r="H16" i="13"/>
  <c r="I13" i="13"/>
  <c r="I35" i="13"/>
  <c r="G11" i="13"/>
  <c r="I3" i="13"/>
  <c r="H11" i="13"/>
  <c r="H39" i="13"/>
  <c r="H34" i="13"/>
  <c r="H38" i="13"/>
  <c r="I10" i="13"/>
  <c r="I31" i="13"/>
  <c r="I12" i="13"/>
  <c r="I33" i="13"/>
  <c r="G38" i="13"/>
  <c r="H27" i="13"/>
  <c r="H35" i="13"/>
  <c r="I9" i="13"/>
  <c r="H24" i="13"/>
  <c r="H12" i="13"/>
  <c r="H9" i="13"/>
  <c r="G32" i="13"/>
  <c r="G12" i="13"/>
  <c r="I29" i="13"/>
  <c r="G28" i="10"/>
  <c r="K31" i="10"/>
  <c r="H31" i="10" s="1"/>
  <c r="I22" i="13"/>
  <c r="I11" i="13"/>
  <c r="G18" i="13"/>
  <c r="H23" i="13"/>
  <c r="G6" i="13"/>
  <c r="G5" i="13"/>
  <c r="G4" i="13"/>
  <c r="H5" i="13"/>
  <c r="I30" i="13"/>
  <c r="G29" i="13"/>
  <c r="G27" i="13"/>
  <c r="H25" i="13"/>
  <c r="I39" i="13"/>
  <c r="I25" i="13"/>
  <c r="G26" i="13"/>
  <c r="I4" i="13"/>
  <c r="I17" i="13"/>
  <c r="G33" i="13"/>
  <c r="G31" i="13"/>
  <c r="I5" i="13"/>
  <c r="H4" i="13"/>
  <c r="H2" i="13"/>
  <c r="I32" i="13"/>
  <c r="G8" i="13"/>
  <c r="I8" i="13"/>
  <c r="I28" i="13"/>
  <c r="G25" i="13"/>
  <c r="H21" i="13"/>
  <c r="H28" i="13"/>
  <c r="H26" i="13"/>
  <c r="H33" i="13"/>
  <c r="H32" i="13"/>
  <c r="G9" i="13"/>
  <c r="I40" i="13"/>
  <c r="G22" i="13"/>
  <c r="G2" i="13"/>
  <c r="I38" i="13"/>
  <c r="H40" i="13"/>
  <c r="H10" i="13"/>
  <c r="G24" i="13"/>
  <c r="I24" i="13"/>
  <c r="H6" i="13"/>
  <c r="H17" i="13"/>
  <c r="G36" i="13"/>
  <c r="H7" i="13"/>
  <c r="I7" i="13"/>
  <c r="I26" i="13"/>
  <c r="G23" i="13"/>
  <c r="G16" i="13"/>
  <c r="G41" i="13"/>
  <c r="G40" i="13"/>
  <c r="I36" i="13"/>
  <c r="H13" i="13"/>
  <c r="H29" i="13"/>
  <c r="I21" i="13"/>
  <c r="H20" i="13"/>
  <c r="H22" i="13"/>
  <c r="I37" i="13"/>
  <c r="I19" i="13"/>
  <c r="G17" i="13"/>
  <c r="G15" i="13"/>
  <c r="I18" i="13"/>
  <c r="G30" i="13"/>
  <c r="G10" i="13"/>
  <c r="I34" i="13"/>
  <c r="I2" i="13"/>
  <c r="G19" i="13"/>
  <c r="G35" i="13"/>
  <c r="H15" i="13"/>
  <c r="I23" i="13"/>
  <c r="H30" i="13"/>
  <c r="I20" i="13"/>
  <c r="G28" i="13"/>
  <c r="H37" i="13"/>
  <c r="G20" i="13"/>
  <c r="I16" i="13"/>
  <c r="I27" i="13"/>
  <c r="H8" i="13"/>
  <c r="H36" i="13"/>
  <c r="I6" i="13"/>
  <c r="G14" i="13"/>
  <c r="I41" i="13"/>
  <c r="I14" i="13"/>
  <c r="G7" i="13"/>
  <c r="G39" i="13"/>
  <c r="H19" i="13"/>
  <c r="G3" i="13"/>
  <c r="G34" i="13"/>
  <c r="G13" i="13"/>
  <c r="R24" i="3"/>
  <c r="R7" i="3"/>
  <c r="R12" i="3"/>
  <c r="R34" i="3"/>
  <c r="R47" i="3"/>
  <c r="R17" i="3"/>
  <c r="R28" i="3"/>
  <c r="P52" i="3"/>
  <c r="T7" i="6" s="1"/>
  <c r="B7" i="6" s="1"/>
  <c r="R52" i="3"/>
  <c r="P55" i="3"/>
  <c r="P56" i="3" s="1"/>
  <c r="R55" i="3"/>
  <c r="R20" i="3"/>
  <c r="R41" i="3"/>
  <c r="G15" i="15"/>
  <c r="F15" i="15"/>
  <c r="E15" i="15"/>
  <c r="D15" i="15"/>
  <c r="G383" i="8"/>
  <c r="I383" i="8"/>
  <c r="G402" i="8"/>
  <c r="I402" i="8"/>
  <c r="G410" i="8"/>
  <c r="I410" i="8"/>
  <c r="G395" i="8"/>
  <c r="I395" i="8"/>
  <c r="G396" i="8"/>
  <c r="I396" i="8"/>
  <c r="G404" i="8"/>
  <c r="I404" i="8"/>
  <c r="H412" i="8"/>
  <c r="I412" i="8"/>
  <c r="G405" i="8"/>
  <c r="I405" i="8"/>
  <c r="G398" i="8"/>
  <c r="I398" i="8"/>
  <c r="H407" i="8"/>
  <c r="I407" i="8"/>
  <c r="H401" i="8"/>
  <c r="I401" i="8"/>
  <c r="P20" i="3"/>
  <c r="P17" i="3"/>
  <c r="T25" i="6" s="1"/>
  <c r="B25" i="6" s="1"/>
  <c r="P24" i="3"/>
  <c r="P25" i="3" s="1"/>
  <c r="T9" i="6" s="1"/>
  <c r="B9" i="6" s="1"/>
  <c r="P2" i="3"/>
  <c r="T11" i="6" s="1"/>
  <c r="B11" i="6" s="1"/>
  <c r="P12" i="3"/>
  <c r="T20" i="6" s="1"/>
  <c r="B20" i="6" s="1"/>
  <c r="B29" i="9" s="1"/>
  <c r="P28" i="3"/>
  <c r="P29" i="3" s="1"/>
  <c r="P30" i="3" s="1"/>
  <c r="P31" i="3" s="1"/>
  <c r="P32" i="3" s="1"/>
  <c r="P33" i="3" s="1"/>
  <c r="P34" i="3"/>
  <c r="P35" i="3" s="1"/>
  <c r="P36" i="3" s="1"/>
  <c r="P37" i="3" s="1"/>
  <c r="P38" i="3" s="1"/>
  <c r="P39" i="3" s="1"/>
  <c r="P40" i="3" s="1"/>
  <c r="P47" i="3"/>
  <c r="P48" i="3" s="1"/>
  <c r="P49" i="3" s="1"/>
  <c r="P50" i="3" s="1"/>
  <c r="P51" i="3" s="1"/>
  <c r="L112" i="10"/>
  <c r="M77" i="10"/>
  <c r="G77" i="10" s="1"/>
  <c r="R79" i="10"/>
  <c r="F79" i="10" s="1"/>
  <c r="H282" i="8"/>
  <c r="H79" i="8"/>
  <c r="L45" i="14" s="1"/>
  <c r="G311" i="8"/>
  <c r="G157" i="8"/>
  <c r="H92" i="8"/>
  <c r="Q58" i="14" s="1"/>
  <c r="F77" i="10"/>
  <c r="G258" i="8"/>
  <c r="M88" i="10"/>
  <c r="G88" i="10" s="1"/>
  <c r="H370" i="8"/>
  <c r="H522" i="8"/>
  <c r="I522" i="8"/>
  <c r="H141" i="8"/>
  <c r="G208" i="8"/>
  <c r="H450" i="8"/>
  <c r="I296" i="8"/>
  <c r="I561" i="8"/>
  <c r="G141" i="8"/>
  <c r="G256" i="8"/>
  <c r="R87" i="10"/>
  <c r="G87" i="10" s="1"/>
  <c r="G409" i="8"/>
  <c r="I294" i="8"/>
  <c r="H75" i="8"/>
  <c r="L41" i="14" s="1"/>
  <c r="G434" i="8"/>
  <c r="H111" i="8"/>
  <c r="H68" i="14" s="1"/>
  <c r="I351" i="8"/>
  <c r="I256" i="8"/>
  <c r="I336" i="8"/>
  <c r="I214" i="8"/>
  <c r="I111" i="8"/>
  <c r="I68" i="14" s="1"/>
  <c r="G115" i="8"/>
  <c r="G70" i="14" s="1"/>
  <c r="G94" i="8"/>
  <c r="P59" i="14" s="1"/>
  <c r="I164" i="8"/>
  <c r="G316" i="8"/>
  <c r="G169" i="8"/>
  <c r="G360" i="8"/>
  <c r="I328" i="8"/>
  <c r="H61" i="8"/>
  <c r="H177" i="8"/>
  <c r="H336" i="8"/>
  <c r="G27" i="8"/>
  <c r="G401" i="8"/>
  <c r="G368" i="8"/>
  <c r="H27" i="8"/>
  <c r="R43" i="10"/>
  <c r="P43" i="10" s="1"/>
  <c r="R47" i="10"/>
  <c r="F47" i="10" s="1"/>
  <c r="R51" i="10"/>
  <c r="K51" i="10" s="1"/>
  <c r="R60" i="10"/>
  <c r="P60" i="10" s="1"/>
  <c r="L60" i="10" s="1"/>
  <c r="I112" i="8"/>
  <c r="R68" i="14" s="1"/>
  <c r="G198" i="8"/>
  <c r="I548" i="8"/>
  <c r="I466" i="8"/>
  <c r="G45" i="8"/>
  <c r="AK3" i="2"/>
  <c r="I340" i="8" s="1"/>
  <c r="I133" i="8"/>
  <c r="I556" i="8"/>
  <c r="G556" i="8"/>
  <c r="L194" i="9"/>
  <c r="D3" i="2"/>
  <c r="C181" i="9"/>
  <c r="C3" i="2"/>
  <c r="A179" i="9" s="1"/>
  <c r="R55" i="10"/>
  <c r="K55" i="10" s="1"/>
  <c r="H300" i="8"/>
  <c r="I191" i="8"/>
  <c r="G330" i="8"/>
  <c r="G296" i="8"/>
  <c r="G250" i="8"/>
  <c r="I569" i="8"/>
  <c r="H382" i="8"/>
  <c r="H164" i="8"/>
  <c r="H464" i="8"/>
  <c r="H330" i="8"/>
  <c r="D17" i="1"/>
  <c r="J17" i="1" s="1"/>
  <c r="H208" i="8"/>
  <c r="I382" i="8"/>
  <c r="I224" i="8"/>
  <c r="I29" i="8"/>
  <c r="H55" i="8"/>
  <c r="H395" i="8"/>
  <c r="H422" i="8"/>
  <c r="I92" i="8"/>
  <c r="R58" i="14" s="1"/>
  <c r="H7" i="8"/>
  <c r="R83" i="10"/>
  <c r="P83" i="10" s="1"/>
  <c r="G362" i="8"/>
  <c r="K77" i="10"/>
  <c r="H224" i="8"/>
  <c r="G29" i="8"/>
  <c r="G422" i="8"/>
  <c r="I13" i="8"/>
  <c r="G480" i="8"/>
  <c r="E77" i="10"/>
  <c r="I488" i="8"/>
  <c r="H216" i="8"/>
  <c r="R45" i="10"/>
  <c r="P45" i="10" s="1"/>
  <c r="L45" i="10" s="1"/>
  <c r="R58" i="10"/>
  <c r="K58" i="10" s="1"/>
  <c r="G133" i="8"/>
  <c r="D16" i="1"/>
  <c r="J16" i="1" s="1"/>
  <c r="D15" i="1"/>
  <c r="J15" i="1" s="1"/>
  <c r="I251" i="8"/>
  <c r="D19" i="1"/>
  <c r="J19" i="1" s="1"/>
  <c r="F161" i="12"/>
  <c r="I11" i="8"/>
  <c r="D20" i="1"/>
  <c r="J20" i="1" s="1"/>
  <c r="G11" i="8"/>
  <c r="R86" i="10"/>
  <c r="E86" i="10" s="1"/>
  <c r="D18" i="1"/>
  <c r="J18" i="1" s="1"/>
  <c r="D12" i="1"/>
  <c r="J12" i="1" s="1"/>
  <c r="I241" i="8"/>
  <c r="G471" i="8"/>
  <c r="D14" i="1"/>
  <c r="J14" i="1" s="1"/>
  <c r="R53" i="10"/>
  <c r="E53" i="10" s="1"/>
  <c r="H389" i="8"/>
  <c r="I192" i="8"/>
  <c r="H242" i="8"/>
  <c r="AY2" i="12"/>
  <c r="R50" i="10"/>
  <c r="G50" i="10" s="1"/>
  <c r="R46" i="10"/>
  <c r="F46" i="10" s="1"/>
  <c r="D85" i="8"/>
  <c r="G51" i="14" s="1"/>
  <c r="D63" i="8"/>
  <c r="E63" i="8" s="1"/>
  <c r="D375" i="8"/>
  <c r="F375" i="8" s="1"/>
  <c r="I271" i="8"/>
  <c r="I156" i="8"/>
  <c r="H118" i="8"/>
  <c r="Q71" i="14" s="1"/>
  <c r="G28" i="8"/>
  <c r="A3" i="9"/>
  <c r="AM5" i="12"/>
  <c r="G295" i="8"/>
  <c r="I160" i="8"/>
  <c r="F3" i="1"/>
  <c r="F4" i="1" s="1"/>
  <c r="I470" i="8"/>
  <c r="H470" i="8"/>
  <c r="I233" i="8"/>
  <c r="I243" i="8"/>
  <c r="H233" i="8"/>
  <c r="G303" i="8"/>
  <c r="G118" i="8"/>
  <c r="P71" i="14" s="1"/>
  <c r="H554" i="8"/>
  <c r="H102" i="8"/>
  <c r="Q63" i="14" s="1"/>
  <c r="H337" i="8"/>
  <c r="H402" i="8"/>
  <c r="R56" i="10"/>
  <c r="F56" i="10" s="1"/>
  <c r="I97" i="8"/>
  <c r="I61" i="14" s="1"/>
  <c r="I319" i="8"/>
  <c r="G240" i="8"/>
  <c r="I352" i="8"/>
  <c r="G319" i="8"/>
  <c r="D542" i="8"/>
  <c r="E542" i="8" s="1"/>
  <c r="R97" i="14"/>
  <c r="G196" i="8"/>
  <c r="H105" i="8"/>
  <c r="H65" i="14" s="1"/>
  <c r="K560" i="8"/>
  <c r="H560" i="8" s="1"/>
  <c r="K15" i="8"/>
  <c r="G178" i="8"/>
  <c r="G479" i="8"/>
  <c r="H329" i="8"/>
  <c r="H116" i="8"/>
  <c r="Q70" i="14" s="1"/>
  <c r="H196" i="8"/>
  <c r="H459" i="8"/>
  <c r="I116" i="8"/>
  <c r="R70" i="14" s="1"/>
  <c r="K391" i="8"/>
  <c r="K509" i="8"/>
  <c r="D509" i="8" s="1"/>
  <c r="K559" i="8"/>
  <c r="D559" i="8" s="1"/>
  <c r="K321" i="8"/>
  <c r="I20" i="8"/>
  <c r="G487" i="8"/>
  <c r="I283" i="8"/>
  <c r="I462" i="8"/>
  <c r="I387" i="8"/>
  <c r="K17" i="8"/>
  <c r="I17" i="8" s="1"/>
  <c r="G140" i="8"/>
  <c r="D457" i="8"/>
  <c r="E457" i="8" s="1"/>
  <c r="B3" i="1"/>
  <c r="B4" i="1" s="1"/>
  <c r="I285" i="8"/>
  <c r="K290" i="8"/>
  <c r="H290" i="8" s="1"/>
  <c r="H285" i="8"/>
  <c r="G283" i="8"/>
  <c r="I508" i="8"/>
  <c r="K472" i="8"/>
  <c r="I472" i="8" s="1"/>
  <c r="K512" i="8"/>
  <c r="D512" i="8" s="1"/>
  <c r="F512" i="8" s="1"/>
  <c r="AH1" i="12"/>
  <c r="H257" i="8"/>
  <c r="G54" i="8"/>
  <c r="C10" i="9"/>
  <c r="H84" i="14"/>
  <c r="K474" i="8"/>
  <c r="H275" i="8"/>
  <c r="K357" i="8"/>
  <c r="D357" i="8" s="1"/>
  <c r="E357" i="8" s="1"/>
  <c r="K473" i="8"/>
  <c r="I473" i="8" s="1"/>
  <c r="K436" i="8"/>
  <c r="H436" i="8" s="1"/>
  <c r="I140" i="8"/>
  <c r="I337" i="8"/>
  <c r="I295" i="8"/>
  <c r="H394" i="8"/>
  <c r="I62" i="8"/>
  <c r="R59" i="10"/>
  <c r="F59" i="10" s="1"/>
  <c r="K322" i="8"/>
  <c r="I322" i="8" s="1"/>
  <c r="K513" i="8"/>
  <c r="I513" i="8" s="1"/>
  <c r="H90" i="8"/>
  <c r="Q57" i="14" s="1"/>
  <c r="K204" i="8"/>
  <c r="D204" i="8" s="1"/>
  <c r="F204" i="8" s="1"/>
  <c r="G275" i="8"/>
  <c r="I90" i="8"/>
  <c r="R57" i="14" s="1"/>
  <c r="K205" i="8"/>
  <c r="H205" i="8" s="1"/>
  <c r="K167" i="8"/>
  <c r="D167" i="8" s="1"/>
  <c r="K166" i="8"/>
  <c r="D166" i="8" s="1"/>
  <c r="K289" i="8"/>
  <c r="I289" i="8" s="1"/>
  <c r="K393" i="8"/>
  <c r="AG2" i="12"/>
  <c r="H76" i="8"/>
  <c r="L42" i="14" s="1"/>
  <c r="H62" i="8"/>
  <c r="K48" i="8"/>
  <c r="H48" i="8" s="1"/>
  <c r="K168" i="8"/>
  <c r="K245" i="8"/>
  <c r="K207" i="8"/>
  <c r="I207" i="8" s="1"/>
  <c r="H479" i="8"/>
  <c r="H410" i="8"/>
  <c r="O174" i="12"/>
  <c r="K36" i="10"/>
  <c r="H36" i="10" s="1"/>
  <c r="P39" i="10"/>
  <c r="M39" i="10" s="1"/>
  <c r="G39" i="10" s="1"/>
  <c r="P23" i="10"/>
  <c r="M23" i="10" s="1"/>
  <c r="G23" i="10" s="1"/>
  <c r="I15" i="12"/>
  <c r="J10" i="14"/>
  <c r="I18" i="12"/>
  <c r="J13" i="14"/>
  <c r="G8" i="6"/>
  <c r="J15" i="12" s="1"/>
  <c r="L10" i="14"/>
  <c r="I11" i="6"/>
  <c r="I20" i="9" s="1"/>
  <c r="L13" i="14"/>
  <c r="I16" i="12"/>
  <c r="J11" i="14"/>
  <c r="F16" i="9"/>
  <c r="J9" i="14"/>
  <c r="I9" i="6"/>
  <c r="L16" i="12" s="1"/>
  <c r="L11" i="14"/>
  <c r="A19" i="9"/>
  <c r="A7" i="18" s="1"/>
  <c r="B12" i="14"/>
  <c r="G10" i="6"/>
  <c r="G19" i="9" s="1"/>
  <c r="L12" i="14"/>
  <c r="I7" i="6"/>
  <c r="K9" i="14" s="1"/>
  <c r="L9" i="14"/>
  <c r="F19" i="9"/>
  <c r="J12" i="14"/>
  <c r="I465" i="8"/>
  <c r="H355" i="8"/>
  <c r="H10" i="8"/>
  <c r="I355" i="8"/>
  <c r="I381" i="8"/>
  <c r="I279" i="8"/>
  <c r="G503" i="8"/>
  <c r="H425" i="8"/>
  <c r="H501" i="8"/>
  <c r="G277" i="8"/>
  <c r="H320" i="8"/>
  <c r="G110" i="8"/>
  <c r="P67" i="14" s="1"/>
  <c r="I198" i="8"/>
  <c r="H156" i="8"/>
  <c r="I120" i="8"/>
  <c r="R72" i="14" s="1"/>
  <c r="H129" i="8"/>
  <c r="D83" i="8"/>
  <c r="D492" i="8"/>
  <c r="E492" i="8" s="1"/>
  <c r="D226" i="8"/>
  <c r="F226" i="8" s="1"/>
  <c r="D533" i="8"/>
  <c r="E533" i="8" s="1"/>
  <c r="I317" i="8"/>
  <c r="G356" i="8"/>
  <c r="D491" i="8"/>
  <c r="D86" i="8"/>
  <c r="D88" i="8"/>
  <c r="E88" i="8" s="1"/>
  <c r="H54" i="14" s="1"/>
  <c r="K123" i="8"/>
  <c r="I123" i="8" s="1"/>
  <c r="K2" i="8"/>
  <c r="K3" i="8"/>
  <c r="K4" i="8"/>
  <c r="K5" i="8"/>
  <c r="D87" i="8"/>
  <c r="E87" i="8" s="1"/>
  <c r="H53" i="14" s="1"/>
  <c r="H372" i="8"/>
  <c r="I372" i="8"/>
  <c r="I100" i="8"/>
  <c r="R62" i="14" s="1"/>
  <c r="H385" i="8"/>
  <c r="I102" i="8"/>
  <c r="R63" i="14" s="1"/>
  <c r="H112" i="8"/>
  <c r="Q68" i="14" s="1"/>
  <c r="D580" i="8"/>
  <c r="E580" i="8" s="1"/>
  <c r="D373" i="8"/>
  <c r="E373" i="8" s="1"/>
  <c r="D224" i="8"/>
  <c r="E224" i="8" s="1"/>
  <c r="D581" i="8"/>
  <c r="E581" i="8" s="1"/>
  <c r="H373" i="8"/>
  <c r="I373" i="8"/>
  <c r="G106" i="8"/>
  <c r="P65" i="14" s="1"/>
  <c r="H390" i="8"/>
  <c r="H100" i="8"/>
  <c r="Q62" i="14" s="1"/>
  <c r="G274" i="8"/>
  <c r="G425" i="8"/>
  <c r="D589" i="8"/>
  <c r="F589" i="8" s="1"/>
  <c r="I77" i="14" s="1"/>
  <c r="D84" i="8"/>
  <c r="F84" i="8" s="1"/>
  <c r="I50" i="14" s="1"/>
  <c r="D227" i="8"/>
  <c r="E227" i="8" s="1"/>
  <c r="D183" i="8"/>
  <c r="E183" i="8" s="1"/>
  <c r="D494" i="8"/>
  <c r="E494" i="8" s="1"/>
  <c r="I390" i="8"/>
  <c r="D16" i="8"/>
  <c r="F16" i="8" s="1"/>
  <c r="D583" i="8"/>
  <c r="F583" i="8" s="1"/>
  <c r="D582" i="8"/>
  <c r="D304" i="8"/>
  <c r="D342" i="8"/>
  <c r="E342" i="8" s="1"/>
  <c r="G113" i="8"/>
  <c r="G69" i="14" s="1"/>
  <c r="H279" i="8"/>
  <c r="I113" i="8"/>
  <c r="I69" i="14" s="1"/>
  <c r="I106" i="8"/>
  <c r="R65" i="14" s="1"/>
  <c r="G43" i="8"/>
  <c r="H117" i="8"/>
  <c r="H71" i="14" s="1"/>
  <c r="H120" i="8"/>
  <c r="Q72" i="14" s="1"/>
  <c r="G117" i="8"/>
  <c r="G71" i="14" s="1"/>
  <c r="D221" i="8"/>
  <c r="F221" i="8" s="1"/>
  <c r="D534" i="8"/>
  <c r="E534" i="8" s="1"/>
  <c r="D374" i="8"/>
  <c r="F74" i="10"/>
  <c r="P72" i="10"/>
  <c r="M76" i="10"/>
  <c r="G76" i="10" s="1"/>
  <c r="M72" i="10"/>
  <c r="G72" i="10" s="1"/>
  <c r="M69" i="10"/>
  <c r="G69" i="10" s="1"/>
  <c r="M85" i="10"/>
  <c r="G85" i="10" s="1"/>
  <c r="R71" i="10"/>
  <c r="E71" i="10" s="1"/>
  <c r="G98" i="8"/>
  <c r="P61" i="14" s="1"/>
  <c r="H434" i="8"/>
  <c r="I464" i="8"/>
  <c r="I467" i="8"/>
  <c r="G460" i="8"/>
  <c r="H98" i="8"/>
  <c r="Q61" i="14" s="1"/>
  <c r="H467" i="8"/>
  <c r="G234" i="8"/>
  <c r="H237" i="8"/>
  <c r="G276" i="8"/>
  <c r="G114" i="8"/>
  <c r="P69" i="14" s="1"/>
  <c r="I276" i="8"/>
  <c r="H96" i="8"/>
  <c r="Q60" i="14" s="1"/>
  <c r="G95" i="8"/>
  <c r="G60" i="14" s="1"/>
  <c r="H197" i="8"/>
  <c r="I202" i="8"/>
  <c r="G161" i="8"/>
  <c r="I96" i="8"/>
  <c r="R60" i="14" s="1"/>
  <c r="H95" i="8"/>
  <c r="H60" i="14" s="1"/>
  <c r="H115" i="8"/>
  <c r="H70" i="14" s="1"/>
  <c r="H154" i="8"/>
  <c r="G202" i="8"/>
  <c r="H153" i="8"/>
  <c r="H45" i="8"/>
  <c r="H57" i="8"/>
  <c r="D225" i="8"/>
  <c r="H529" i="8"/>
  <c r="G79" i="8"/>
  <c r="J45" i="14" s="1"/>
  <c r="G80" i="8"/>
  <c r="J46" i="14" s="1"/>
  <c r="I80" i="8"/>
  <c r="N46" i="14" s="1"/>
  <c r="H163" i="8"/>
  <c r="G131" i="8"/>
  <c r="G143" i="8"/>
  <c r="H49" i="8"/>
  <c r="G162" i="8"/>
  <c r="H101" i="8"/>
  <c r="H63" i="14" s="1"/>
  <c r="I280" i="8"/>
  <c r="H23" i="8"/>
  <c r="I143" i="8"/>
  <c r="H267" i="8"/>
  <c r="H103" i="8"/>
  <c r="H64" i="14" s="1"/>
  <c r="G280" i="8"/>
  <c r="G451" i="8"/>
  <c r="G443" i="8"/>
  <c r="I487" i="8"/>
  <c r="I103" i="8"/>
  <c r="I64" i="14" s="1"/>
  <c r="G40" i="8"/>
  <c r="G371" i="8"/>
  <c r="H480" i="8"/>
  <c r="H396" i="8"/>
  <c r="G323" i="8"/>
  <c r="H371" i="8"/>
  <c r="H363" i="8"/>
  <c r="H251" i="8"/>
  <c r="G77" i="8"/>
  <c r="J43" i="14" s="1"/>
  <c r="I77" i="8"/>
  <c r="N43" i="14" s="1"/>
  <c r="H354" i="8"/>
  <c r="I277" i="8"/>
  <c r="R82" i="10"/>
  <c r="G82" i="10" s="1"/>
  <c r="H392" i="8"/>
  <c r="R78" i="10"/>
  <c r="K78" i="10" s="1"/>
  <c r="R66" i="10"/>
  <c r="K66" i="10" s="1"/>
  <c r="H66" i="10" s="1"/>
  <c r="G248" i="8"/>
  <c r="H13" i="8"/>
  <c r="I199" i="8"/>
  <c r="G44" i="8"/>
  <c r="I320" i="8"/>
  <c r="I347" i="8"/>
  <c r="H426" i="8"/>
  <c r="G314" i="8"/>
  <c r="I471" i="8"/>
  <c r="G200" i="8"/>
  <c r="G97" i="8"/>
  <c r="G61" i="14" s="1"/>
  <c r="J13" i="1"/>
  <c r="I153" i="8"/>
  <c r="G348" i="8"/>
  <c r="G93" i="8"/>
  <c r="G59" i="14" s="1"/>
  <c r="G199" i="8"/>
  <c r="I104" i="8"/>
  <c r="R64" i="14" s="1"/>
  <c r="H91" i="8"/>
  <c r="H58" i="14" s="1"/>
  <c r="I314" i="8"/>
  <c r="H194" i="8"/>
  <c r="H109" i="8"/>
  <c r="H67" i="14" s="1"/>
  <c r="H104" i="8"/>
  <c r="Q64" i="14" s="1"/>
  <c r="G91" i="8"/>
  <c r="G58" i="14" s="1"/>
  <c r="G312" i="8"/>
  <c r="G433" i="8"/>
  <c r="I107" i="8"/>
  <c r="I66" i="14" s="1"/>
  <c r="I242" i="8"/>
  <c r="H119" i="8"/>
  <c r="H72" i="14" s="1"/>
  <c r="H114" i="8"/>
  <c r="Q69" i="14" s="1"/>
  <c r="G309" i="8"/>
  <c r="I194" i="8"/>
  <c r="I94" i="8"/>
  <c r="R59" i="14" s="1"/>
  <c r="G109" i="8"/>
  <c r="G67" i="14" s="1"/>
  <c r="I389" i="8"/>
  <c r="I44" i="8"/>
  <c r="H315" i="8"/>
  <c r="H318" i="8"/>
  <c r="G163" i="8"/>
  <c r="G241" i="8"/>
  <c r="I426" i="8"/>
  <c r="G155" i="8"/>
  <c r="H107" i="8"/>
  <c r="H66" i="14" s="1"/>
  <c r="H157" i="8"/>
  <c r="I200" i="8"/>
  <c r="I105" i="8"/>
  <c r="I65" i="14" s="1"/>
  <c r="I119" i="8"/>
  <c r="I72" i="14" s="1"/>
  <c r="H420" i="8"/>
  <c r="I460" i="8"/>
  <c r="H93" i="8"/>
  <c r="H59" i="14" s="1"/>
  <c r="H42" i="8"/>
  <c r="H547" i="8"/>
  <c r="H433" i="8"/>
  <c r="I419" i="8"/>
  <c r="H297" i="8"/>
  <c r="G59" i="8"/>
  <c r="H41" i="8"/>
  <c r="R54" i="10"/>
  <c r="P54" i="10" s="1"/>
  <c r="L54" i="10" s="1"/>
  <c r="L116" i="10"/>
  <c r="R81" i="10"/>
  <c r="E81" i="10" s="1"/>
  <c r="E105" i="10"/>
  <c r="K76" i="10"/>
  <c r="F76" i="10"/>
  <c r="P76" i="10"/>
  <c r="E76" i="10"/>
  <c r="R70" i="10"/>
  <c r="E70" i="10" s="1"/>
  <c r="G95" i="10"/>
  <c r="F113" i="10"/>
  <c r="P95" i="10"/>
  <c r="R14" i="10"/>
  <c r="P14" i="10" s="1"/>
  <c r="L108" i="10"/>
  <c r="F95" i="10"/>
  <c r="M84" i="10"/>
  <c r="G84" i="10" s="1"/>
  <c r="P27" i="10"/>
  <c r="M27" i="10" s="1"/>
  <c r="R16" i="10"/>
  <c r="P16" i="10" s="1"/>
  <c r="R10" i="10"/>
  <c r="E10" i="10" s="1"/>
  <c r="R44" i="10"/>
  <c r="F44" i="10" s="1"/>
  <c r="R57" i="10"/>
  <c r="F57" i="10" s="1"/>
  <c r="R67" i="10"/>
  <c r="G67" i="10" s="1"/>
  <c r="E84" i="10"/>
  <c r="F84" i="10"/>
  <c r="P84" i="10"/>
  <c r="P111" i="10"/>
  <c r="L111" i="10" s="1"/>
  <c r="F39" i="10"/>
  <c r="E39" i="10"/>
  <c r="E36" i="10"/>
  <c r="F36" i="10"/>
  <c r="F96" i="10"/>
  <c r="G96" i="10"/>
  <c r="F112" i="10"/>
  <c r="P92" i="10"/>
  <c r="M65" i="10"/>
  <c r="G65" i="10" s="1"/>
  <c r="G92" i="10"/>
  <c r="R15" i="10"/>
  <c r="P65" i="10"/>
  <c r="L65" i="10" s="1"/>
  <c r="F65" i="10" s="1"/>
  <c r="O4" i="10" s="1"/>
  <c r="R80" i="10"/>
  <c r="F80" i="10" s="1"/>
  <c r="R17" i="10"/>
  <c r="P21" i="10"/>
  <c r="M21" i="10" s="1"/>
  <c r="G21" i="10" s="1"/>
  <c r="I17" i="6"/>
  <c r="L24" i="12" s="1"/>
  <c r="G17" i="6"/>
  <c r="G26" i="9" s="1"/>
  <c r="J26" i="6"/>
  <c r="J25" i="6"/>
  <c r="K27" i="10"/>
  <c r="H27" i="10" s="1"/>
  <c r="G27" i="10"/>
  <c r="P33" i="10"/>
  <c r="M33" i="10" s="1"/>
  <c r="G33" i="10" s="1"/>
  <c r="P31" i="10"/>
  <c r="M31" i="10" s="1"/>
  <c r="G31" i="10" s="1"/>
  <c r="A21" i="9"/>
  <c r="A9" i="18" s="1"/>
  <c r="K22" i="6"/>
  <c r="I26" i="6"/>
  <c r="G22" i="6"/>
  <c r="J7" i="6"/>
  <c r="M14" i="12" s="1"/>
  <c r="I13" i="6"/>
  <c r="L20" i="12" s="1"/>
  <c r="J22" i="6"/>
  <c r="K7" i="6"/>
  <c r="N14" i="12" s="1"/>
  <c r="H22" i="6"/>
  <c r="G22" i="9"/>
  <c r="I20" i="6"/>
  <c r="L27" i="12" s="1"/>
  <c r="E22" i="10"/>
  <c r="P22" i="10"/>
  <c r="M22" i="10" s="1"/>
  <c r="G22" i="10" s="1"/>
  <c r="AE39" i="10"/>
  <c r="AF39" i="10" s="1"/>
  <c r="AG39" i="10" s="1"/>
  <c r="AH39" i="10" s="1"/>
  <c r="AI39" i="10" s="1"/>
  <c r="AJ39" i="10" s="1"/>
  <c r="AK39" i="10" s="1"/>
  <c r="AL39" i="10" s="1"/>
  <c r="AM39" i="10" s="1"/>
  <c r="AN39" i="10" s="1"/>
  <c r="K19" i="6"/>
  <c r="N26" i="12" s="1"/>
  <c r="J28" i="9"/>
  <c r="I19" i="6"/>
  <c r="I28" i="9" s="1"/>
  <c r="G19" i="6"/>
  <c r="G28" i="9" s="1"/>
  <c r="H19" i="6"/>
  <c r="H28" i="9" s="1"/>
  <c r="B25" i="12"/>
  <c r="F21" i="9"/>
  <c r="J20" i="6"/>
  <c r="J29" i="9" s="1"/>
  <c r="L8" i="9"/>
  <c r="K9" i="9"/>
  <c r="N7" i="12"/>
  <c r="K20" i="6"/>
  <c r="K29" i="9" s="1"/>
  <c r="H20" i="6"/>
  <c r="H29" i="9" s="1"/>
  <c r="G24" i="10"/>
  <c r="L9" i="9"/>
  <c r="AR21" i="5"/>
  <c r="AR22" i="5" s="1"/>
  <c r="AS20" i="5"/>
  <c r="G39" i="8"/>
  <c r="H71" i="8"/>
  <c r="L37" i="14" s="1"/>
  <c r="I132" i="8"/>
  <c r="H134" i="8"/>
  <c r="G158" i="8"/>
  <c r="H158" i="8"/>
  <c r="G36" i="8"/>
  <c r="I134" i="8"/>
  <c r="AX26" i="5"/>
  <c r="AW27" i="5"/>
  <c r="AW28" i="5" s="1"/>
  <c r="AW29" i="5" s="1"/>
  <c r="G18" i="5"/>
  <c r="G19" i="5" s="1"/>
  <c r="G193" i="8"/>
  <c r="H136" i="8"/>
  <c r="H236" i="8"/>
  <c r="H6" i="8"/>
  <c r="I236" i="8"/>
  <c r="I557" i="8"/>
  <c r="H557" i="8"/>
  <c r="AI12" i="5"/>
  <c r="AI13" i="5" s="1"/>
  <c r="AI14" i="5" s="1"/>
  <c r="AJ11" i="5"/>
  <c r="AJ12" i="5" s="1"/>
  <c r="AJ13" i="5" s="1"/>
  <c r="AJ14" i="5" s="1"/>
  <c r="I9" i="8"/>
  <c r="H8" i="8"/>
  <c r="AW24" i="5"/>
  <c r="AW25" i="5" s="1"/>
  <c r="AX23" i="5"/>
  <c r="AL15" i="5"/>
  <c r="AK16" i="5"/>
  <c r="AK17" i="5" s="1"/>
  <c r="AK18" i="5" s="1"/>
  <c r="AK19" i="5" s="1"/>
  <c r="H432" i="8"/>
  <c r="I432" i="8"/>
  <c r="G388" i="8"/>
  <c r="I388" i="8"/>
  <c r="G308" i="8"/>
  <c r="H308" i="8"/>
  <c r="I507" i="8"/>
  <c r="G507" i="8"/>
  <c r="G421" i="8"/>
  <c r="I421" i="8"/>
  <c r="H421" i="8"/>
  <c r="H427" i="8"/>
  <c r="G427" i="8"/>
  <c r="I544" i="8"/>
  <c r="H544" i="8"/>
  <c r="G544" i="8"/>
  <c r="I287" i="8"/>
  <c r="H287" i="8"/>
  <c r="I12" i="8"/>
  <c r="H12" i="8"/>
  <c r="G12" i="8"/>
  <c r="H281" i="8"/>
  <c r="H47" i="8"/>
  <c r="D47" i="8"/>
  <c r="G190" i="8"/>
  <c r="G201" i="8"/>
  <c r="I201" i="8"/>
  <c r="G557" i="8"/>
  <c r="H110" i="8"/>
  <c r="Q67" i="14" s="1"/>
  <c r="I162" i="8"/>
  <c r="F112" i="12"/>
  <c r="E97" i="10"/>
  <c r="F91" i="12"/>
  <c r="I350" i="8"/>
  <c r="V6" i="5"/>
  <c r="V7" i="5" s="1"/>
  <c r="P42" i="3"/>
  <c r="P43" i="3" s="1"/>
  <c r="P44" i="3" s="1"/>
  <c r="P45" i="3" s="1"/>
  <c r="P46" i="3" s="1"/>
  <c r="AJ16" i="5"/>
  <c r="AJ17" i="5" s="1"/>
  <c r="AJ18" i="5" s="1"/>
  <c r="AJ19" i="5" s="1"/>
  <c r="AV27" i="5"/>
  <c r="AV28" i="5" s="1"/>
  <c r="AV29" i="5" s="1"/>
  <c r="G105" i="10"/>
  <c r="T12" i="6"/>
  <c r="B12" i="6" s="1"/>
  <c r="A19" i="12" s="1"/>
  <c r="O71" i="8"/>
  <c r="B15" i="12"/>
  <c r="B23" i="12"/>
  <c r="H564" i="8"/>
  <c r="B18" i="12"/>
  <c r="A28" i="9"/>
  <c r="K418" i="8"/>
  <c r="K541" i="8"/>
  <c r="D541" i="8" s="1"/>
  <c r="AM4" i="12"/>
  <c r="K288" i="8"/>
  <c r="I476" i="8"/>
  <c r="K46" i="8"/>
  <c r="K232" i="8"/>
  <c r="K244" i="8"/>
  <c r="K358" i="8"/>
  <c r="K511" i="8"/>
  <c r="C202" i="9"/>
  <c r="K135" i="8"/>
  <c r="R52" i="10"/>
  <c r="H25" i="6"/>
  <c r="K34" i="10"/>
  <c r="H34" i="10" s="1"/>
  <c r="P34" i="10"/>
  <c r="M34" i="10" s="1"/>
  <c r="G34" i="10"/>
  <c r="G25" i="6"/>
  <c r="I25" i="6"/>
  <c r="E34" i="10"/>
  <c r="K26" i="10"/>
  <c r="H26" i="10" s="1"/>
  <c r="AE28" i="10"/>
  <c r="AF28" i="10" s="1"/>
  <c r="AG28" i="10" s="1"/>
  <c r="AH28" i="10" s="1"/>
  <c r="AI28" i="10" s="1"/>
  <c r="AJ28" i="10" s="1"/>
  <c r="AK28" i="10" s="1"/>
  <c r="AL28" i="10" s="1"/>
  <c r="AM28" i="10" s="1"/>
  <c r="AN28" i="10" s="1"/>
  <c r="P35" i="10"/>
  <c r="M35" i="10" s="1"/>
  <c r="G35" i="10" s="1"/>
  <c r="J15" i="6"/>
  <c r="M22" i="12" s="1"/>
  <c r="K20" i="10"/>
  <c r="P20" i="10"/>
  <c r="M20" i="10" s="1"/>
  <c r="G20" i="10" s="1"/>
  <c r="G32" i="10"/>
  <c r="F32" i="10"/>
  <c r="K32" i="10"/>
  <c r="H32" i="10" s="1"/>
  <c r="P32" i="10"/>
  <c r="M32" i="10" s="1"/>
  <c r="E32" i="10"/>
  <c r="P37" i="10"/>
  <c r="M37" i="10" s="1"/>
  <c r="F37" i="10"/>
  <c r="G37" i="10"/>
  <c r="K37" i="10"/>
  <c r="H37" i="10" s="1"/>
  <c r="P25" i="10"/>
  <c r="M25" i="10" s="1"/>
  <c r="G25" i="10"/>
  <c r="K25" i="10"/>
  <c r="H25" i="10" s="1"/>
  <c r="G38" i="10"/>
  <c r="K24" i="10"/>
  <c r="H24" i="10" s="1"/>
  <c r="P26" i="10"/>
  <c r="M26" i="10" s="1"/>
  <c r="G26" i="10" s="1"/>
  <c r="AE38" i="10"/>
  <c r="AF38" i="10" s="1"/>
  <c r="AG38" i="10" s="1"/>
  <c r="AH38" i="10" s="1"/>
  <c r="AI38" i="10" s="1"/>
  <c r="AJ38" i="10" s="1"/>
  <c r="AK38" i="10" s="1"/>
  <c r="AL38" i="10" s="1"/>
  <c r="AM38" i="10" s="1"/>
  <c r="AN38" i="10" s="1"/>
  <c r="K38" i="10"/>
  <c r="H38" i="10" s="1"/>
  <c r="P38" i="10"/>
  <c r="M38" i="10" s="1"/>
  <c r="AE22" i="10"/>
  <c r="AF22" i="10" s="1"/>
  <c r="AG22" i="10" s="1"/>
  <c r="AH22" i="10" s="1"/>
  <c r="AI22" i="10" s="1"/>
  <c r="AJ22" i="10" s="1"/>
  <c r="AK22" i="10" s="1"/>
  <c r="AL22" i="10" s="1"/>
  <c r="AM22" i="10" s="1"/>
  <c r="AN22" i="10" s="1"/>
  <c r="AE23" i="10"/>
  <c r="AF23" i="10" s="1"/>
  <c r="AG23" i="10" s="1"/>
  <c r="AH23" i="10" s="1"/>
  <c r="AI23" i="10" s="1"/>
  <c r="AJ23" i="10" s="1"/>
  <c r="AK23" i="10" s="1"/>
  <c r="AL23" i="10" s="1"/>
  <c r="AM23" i="10" s="1"/>
  <c r="AN23" i="10" s="1"/>
  <c r="AE31" i="10"/>
  <c r="AF31" i="10" s="1"/>
  <c r="AG31" i="10" s="1"/>
  <c r="AH31" i="10" s="1"/>
  <c r="AI31" i="10" s="1"/>
  <c r="AJ31" i="10" s="1"/>
  <c r="AK31" i="10" s="1"/>
  <c r="AL31" i="10" s="1"/>
  <c r="AM31" i="10" s="1"/>
  <c r="AN31" i="10" s="1"/>
  <c r="I15" i="6"/>
  <c r="L22" i="12" s="1"/>
  <c r="J8" i="6"/>
  <c r="H8" i="6"/>
  <c r="H17" i="9" s="1"/>
  <c r="K15" i="6"/>
  <c r="K24" i="9" s="1"/>
  <c r="I8" i="6"/>
  <c r="K8" i="6"/>
  <c r="H15" i="6"/>
  <c r="K22" i="12" s="1"/>
  <c r="F17" i="9"/>
  <c r="A17" i="9"/>
  <c r="A5" i="18" s="1"/>
  <c r="F20" i="9"/>
  <c r="F24" i="9"/>
  <c r="A29" i="9"/>
  <c r="G9" i="6"/>
  <c r="G18" i="9" s="1"/>
  <c r="H9" i="6"/>
  <c r="H18" i="9" s="1"/>
  <c r="F26" i="9"/>
  <c r="J10" i="6"/>
  <c r="M17" i="12" s="1"/>
  <c r="L21" i="12"/>
  <c r="K10" i="6"/>
  <c r="G23" i="6"/>
  <c r="I10" i="6"/>
  <c r="K12" i="14" s="1"/>
  <c r="H23" i="6"/>
  <c r="H10" i="6"/>
  <c r="H19" i="9" s="1"/>
  <c r="B17" i="6"/>
  <c r="B26" i="9" s="1"/>
  <c r="I25" i="12"/>
  <c r="I17" i="12"/>
  <c r="B24" i="6"/>
  <c r="AK11" i="5"/>
  <c r="F117" i="12"/>
  <c r="F88" i="10"/>
  <c r="P88" i="10"/>
  <c r="K88" i="10"/>
  <c r="E88" i="10"/>
  <c r="N8" i="13"/>
  <c r="M7" i="13"/>
  <c r="E69" i="10"/>
  <c r="P69" i="10"/>
  <c r="K69" i="10"/>
  <c r="F69" i="10"/>
  <c r="X5" i="5"/>
  <c r="W6" i="5"/>
  <c r="W7" i="5" s="1"/>
  <c r="I431" i="8"/>
  <c r="H431" i="8"/>
  <c r="G278" i="8"/>
  <c r="H278" i="8"/>
  <c r="I278" i="8"/>
  <c r="H165" i="8"/>
  <c r="G165" i="8"/>
  <c r="I235" i="8"/>
  <c r="G235" i="8"/>
  <c r="H235" i="8"/>
  <c r="G432" i="8"/>
  <c r="H99" i="8"/>
  <c r="H62" i="14" s="1"/>
  <c r="I99" i="8"/>
  <c r="I62" i="14" s="1"/>
  <c r="G468" i="8"/>
  <c r="H468" i="8"/>
  <c r="I89" i="8"/>
  <c r="I57" i="14" s="1"/>
  <c r="H89" i="8"/>
  <c r="H57" i="14" s="1"/>
  <c r="H386" i="8"/>
  <c r="H353" i="8"/>
  <c r="H238" i="8"/>
  <c r="P9" i="3"/>
  <c r="T10" i="6"/>
  <c r="B10" i="6" s="1"/>
  <c r="I349" i="8"/>
  <c r="AD9" i="5"/>
  <c r="AD10" i="5" s="1"/>
  <c r="AE8" i="5"/>
  <c r="P85" i="10"/>
  <c r="K85" i="10"/>
  <c r="E85" i="10"/>
  <c r="F85" i="10"/>
  <c r="I417" i="8"/>
  <c r="G47" i="8"/>
  <c r="H243" i="8"/>
  <c r="G286" i="8"/>
  <c r="H508" i="8"/>
  <c r="G461" i="8"/>
  <c r="D455" i="8"/>
  <c r="AC9" i="5"/>
  <c r="AC10" i="5" s="1"/>
  <c r="I286" i="8"/>
  <c r="I356" i="8"/>
  <c r="I461" i="8"/>
  <c r="G354" i="8"/>
  <c r="I101" i="8"/>
  <c r="I63" i="14" s="1"/>
  <c r="I385" i="8"/>
  <c r="AL16" i="5"/>
  <c r="AL17" i="5" s="1"/>
  <c r="AL18" i="5" s="1"/>
  <c r="AL19" i="5" s="1"/>
  <c r="AM15" i="5"/>
  <c r="M73" i="10"/>
  <c r="R73" i="10"/>
  <c r="L182" i="12"/>
  <c r="H3" i="1"/>
  <c r="Q5" i="14" s="1"/>
  <c r="B20" i="12"/>
  <c r="H249" i="8"/>
  <c r="B21" i="12"/>
  <c r="A24" i="9"/>
  <c r="A12" i="18" s="1"/>
  <c r="B16" i="12"/>
  <c r="F106" i="12"/>
  <c r="K284" i="8"/>
  <c r="K159" i="8"/>
  <c r="K38" i="8"/>
  <c r="K423" i="8"/>
  <c r="K108" i="8"/>
  <c r="K384" i="8"/>
  <c r="K553" i="8"/>
  <c r="G173" i="8"/>
  <c r="I173" i="8"/>
  <c r="K510" i="8"/>
  <c r="D510" i="8" s="1"/>
  <c r="K435" i="8"/>
  <c r="K69" i="8"/>
  <c r="K203" i="8"/>
  <c r="K307" i="8"/>
  <c r="K379" i="8"/>
  <c r="I379" i="8" s="1"/>
  <c r="K558" i="8"/>
  <c r="D558" i="8" s="1"/>
  <c r="R75" i="10"/>
  <c r="K14" i="8"/>
  <c r="K34" i="8"/>
  <c r="G34" i="8" s="1"/>
  <c r="K70" i="8"/>
  <c r="D70" i="8" s="1"/>
  <c r="G36" i="14" s="1"/>
  <c r="K499" i="8"/>
  <c r="D499" i="8" s="1"/>
  <c r="K18" i="8"/>
  <c r="K35" i="8"/>
  <c r="K150" i="8"/>
  <c r="K206" i="8"/>
  <c r="K273" i="8"/>
  <c r="AE33" i="10"/>
  <c r="AF33" i="10" s="1"/>
  <c r="AG33" i="10" s="1"/>
  <c r="AH33" i="10" s="1"/>
  <c r="AI33" i="10" s="1"/>
  <c r="AJ33" i="10" s="1"/>
  <c r="AK33" i="10" s="1"/>
  <c r="AL33" i="10" s="1"/>
  <c r="AM33" i="10" s="1"/>
  <c r="AN33" i="10" s="1"/>
  <c r="I26" i="12"/>
  <c r="F18" i="9"/>
  <c r="I16" i="6"/>
  <c r="I25" i="9" s="1"/>
  <c r="H12" i="6"/>
  <c r="J12" i="6"/>
  <c r="J21" i="9" s="1"/>
  <c r="G12" i="6"/>
  <c r="G21" i="9" s="1"/>
  <c r="K12" i="6"/>
  <c r="N19" i="12" s="1"/>
  <c r="J22" i="12"/>
  <c r="AE34" i="10"/>
  <c r="AF34" i="10" s="1"/>
  <c r="AG34" i="10" s="1"/>
  <c r="AH34" i="10" s="1"/>
  <c r="AI34" i="10" s="1"/>
  <c r="AJ34" i="10" s="1"/>
  <c r="AK34" i="10" s="1"/>
  <c r="AL34" i="10" s="1"/>
  <c r="AM34" i="10" s="1"/>
  <c r="AN34" i="10" s="1"/>
  <c r="AE26" i="10"/>
  <c r="AF26" i="10" s="1"/>
  <c r="AG26" i="10" s="1"/>
  <c r="AH26" i="10" s="1"/>
  <c r="AI26" i="10" s="1"/>
  <c r="AJ26" i="10" s="1"/>
  <c r="AK26" i="10" s="1"/>
  <c r="AL26" i="10" s="1"/>
  <c r="AM26" i="10" s="1"/>
  <c r="AN26" i="10" s="1"/>
  <c r="AE35" i="10"/>
  <c r="AF35" i="10" s="1"/>
  <c r="AG35" i="10" s="1"/>
  <c r="AH35" i="10" s="1"/>
  <c r="AI35" i="10" s="1"/>
  <c r="AJ35" i="10" s="1"/>
  <c r="AK35" i="10" s="1"/>
  <c r="AL35" i="10" s="1"/>
  <c r="AM35" i="10" s="1"/>
  <c r="AN35" i="10" s="1"/>
  <c r="AE27" i="10"/>
  <c r="AF27" i="10" s="1"/>
  <c r="AG27" i="10" s="1"/>
  <c r="AH27" i="10" s="1"/>
  <c r="AI27" i="10" s="1"/>
  <c r="AJ27" i="10" s="1"/>
  <c r="AK27" i="10" s="1"/>
  <c r="AL27" i="10" s="1"/>
  <c r="AM27" i="10" s="1"/>
  <c r="AN27" i="10" s="1"/>
  <c r="AE20" i="10"/>
  <c r="AF20" i="10" s="1"/>
  <c r="AG20" i="10" s="1"/>
  <c r="AH20" i="10" s="1"/>
  <c r="AI20" i="10" s="1"/>
  <c r="AJ20" i="10" s="1"/>
  <c r="AK20" i="10" s="1"/>
  <c r="AL20" i="10" s="1"/>
  <c r="AM20" i="10" s="1"/>
  <c r="AN20" i="10" s="1"/>
  <c r="AE36" i="10"/>
  <c r="AF36" i="10" s="1"/>
  <c r="AG36" i="10" s="1"/>
  <c r="AH36" i="10" s="1"/>
  <c r="AI36" i="10" s="1"/>
  <c r="AJ36" i="10" s="1"/>
  <c r="AK36" i="10" s="1"/>
  <c r="AL36" i="10" s="1"/>
  <c r="AM36" i="10" s="1"/>
  <c r="AN36" i="10" s="1"/>
  <c r="AE32" i="10"/>
  <c r="AF32" i="10" s="1"/>
  <c r="AG32" i="10" s="1"/>
  <c r="AH32" i="10" s="1"/>
  <c r="AI32" i="10" s="1"/>
  <c r="AJ32" i="10" s="1"/>
  <c r="AK32" i="10" s="1"/>
  <c r="AL32" i="10" s="1"/>
  <c r="AM32" i="10" s="1"/>
  <c r="AN32" i="10" s="1"/>
  <c r="K24" i="12"/>
  <c r="H26" i="9"/>
  <c r="G16" i="6"/>
  <c r="J23" i="12" s="1"/>
  <c r="I20" i="12"/>
  <c r="A20" i="9"/>
  <c r="A8" i="18" s="1"/>
  <c r="AE25" i="10"/>
  <c r="AF25" i="10" s="1"/>
  <c r="AG25" i="10" s="1"/>
  <c r="AH25" i="10" s="1"/>
  <c r="AI25" i="10" s="1"/>
  <c r="AJ25" i="10" s="1"/>
  <c r="AK25" i="10" s="1"/>
  <c r="AL25" i="10" s="1"/>
  <c r="AM25" i="10" s="1"/>
  <c r="AN25" i="10" s="1"/>
  <c r="AE21" i="10"/>
  <c r="AF21" i="10" s="1"/>
  <c r="AG21" i="10" s="1"/>
  <c r="AH21" i="10" s="1"/>
  <c r="AI21" i="10" s="1"/>
  <c r="AJ21" i="10" s="1"/>
  <c r="AK21" i="10" s="1"/>
  <c r="AL21" i="10" s="1"/>
  <c r="AM21" i="10" s="1"/>
  <c r="AN21" i="10" s="1"/>
  <c r="B26" i="12"/>
  <c r="AE24" i="10"/>
  <c r="AF24" i="10" s="1"/>
  <c r="AG24" i="10" s="1"/>
  <c r="AH24" i="10" s="1"/>
  <c r="AI24" i="10" s="1"/>
  <c r="AJ24" i="10" s="1"/>
  <c r="AK24" i="10" s="1"/>
  <c r="AL24" i="10" s="1"/>
  <c r="AM24" i="10" s="1"/>
  <c r="AN24" i="10" s="1"/>
  <c r="AE37" i="10"/>
  <c r="AF37" i="10" s="1"/>
  <c r="AG37" i="10" s="1"/>
  <c r="AH37" i="10" s="1"/>
  <c r="AI37" i="10" s="1"/>
  <c r="AJ37" i="10" s="1"/>
  <c r="AK37" i="10" s="1"/>
  <c r="AL37" i="10" s="1"/>
  <c r="AM37" i="10" s="1"/>
  <c r="AN37" i="10" s="1"/>
  <c r="K23" i="12"/>
  <c r="H25" i="9"/>
  <c r="J21" i="6"/>
  <c r="B17" i="12"/>
  <c r="B23" i="6"/>
  <c r="L23" i="6" s="1"/>
  <c r="I21" i="6"/>
  <c r="H21" i="6"/>
  <c r="A25" i="9"/>
  <c r="A13" i="18" s="1"/>
  <c r="K21" i="6"/>
  <c r="I14" i="12"/>
  <c r="J14" i="6"/>
  <c r="G14" i="6"/>
  <c r="K14" i="6"/>
  <c r="N21" i="12" s="1"/>
  <c r="H14" i="6"/>
  <c r="I21" i="9"/>
  <c r="L19" i="12"/>
  <c r="J18" i="6"/>
  <c r="I18" i="6"/>
  <c r="G18" i="6"/>
  <c r="K18" i="6"/>
  <c r="H18" i="6"/>
  <c r="F25" i="9"/>
  <c r="I23" i="12"/>
  <c r="H13" i="6"/>
  <c r="K13" i="6"/>
  <c r="A23" i="9"/>
  <c r="A11" i="18" s="1"/>
  <c r="F23" i="9"/>
  <c r="I21" i="12"/>
  <c r="A18" i="9"/>
  <c r="A6" i="18" s="1"/>
  <c r="I27" i="12"/>
  <c r="F29" i="9"/>
  <c r="J13" i="6"/>
  <c r="G29" i="9"/>
  <c r="J27" i="12"/>
  <c r="B24" i="12"/>
  <c r="A26" i="9"/>
  <c r="A14" i="18" s="1"/>
  <c r="H53" i="9"/>
  <c r="M50" i="12"/>
  <c r="F58" i="9"/>
  <c r="I44" i="12"/>
  <c r="M39" i="12"/>
  <c r="I54" i="12"/>
  <c r="K53" i="12"/>
  <c r="I60" i="12"/>
  <c r="A41" i="12"/>
  <c r="M58" i="12"/>
  <c r="M65" i="12"/>
  <c r="K49" i="12"/>
  <c r="E59" i="12"/>
  <c r="A52" i="12"/>
  <c r="K38" i="12"/>
  <c r="H57" i="9"/>
  <c r="A31" i="12"/>
  <c r="H66" i="9"/>
  <c r="I36" i="12"/>
  <c r="I41" i="12"/>
  <c r="E57" i="12"/>
  <c r="A66" i="12"/>
  <c r="K54" i="12"/>
  <c r="J69" i="9"/>
  <c r="I34" i="12"/>
  <c r="K51" i="12"/>
  <c r="I50" i="12"/>
  <c r="H61" i="9"/>
  <c r="J50" i="9"/>
  <c r="E34" i="12"/>
  <c r="I42" i="12"/>
  <c r="E51" i="12"/>
  <c r="I30" i="12"/>
  <c r="E39" i="12"/>
  <c r="K50" i="12"/>
  <c r="K44" i="12"/>
  <c r="J59" i="9"/>
  <c r="I43" i="12"/>
  <c r="I38" i="12"/>
  <c r="A54" i="12"/>
  <c r="M55" i="12"/>
  <c r="H42" i="9"/>
  <c r="I35" i="12"/>
  <c r="F52" i="9"/>
  <c r="A42" i="12"/>
  <c r="E53" i="12"/>
  <c r="F48" i="9"/>
  <c r="F64" i="9"/>
  <c r="A53" i="12"/>
  <c r="K45" i="12"/>
  <c r="A44" i="12"/>
  <c r="A65" i="12"/>
  <c r="E43" i="12"/>
  <c r="E31" i="12"/>
  <c r="K47" i="12"/>
  <c r="A32" i="12"/>
  <c r="K36" i="12"/>
  <c r="A48" i="12"/>
  <c r="E56" i="12"/>
  <c r="K34" i="12"/>
  <c r="I53" i="12"/>
  <c r="A34" i="12"/>
  <c r="A51" i="12"/>
  <c r="F43" i="9"/>
  <c r="E62" i="12"/>
  <c r="F62" i="9"/>
  <c r="E36" i="12"/>
  <c r="A38" i="12"/>
  <c r="A63" i="12"/>
  <c r="I40" i="12"/>
  <c r="M36" i="12"/>
  <c r="I45" i="12"/>
  <c r="M44" i="12"/>
  <c r="I52" i="12"/>
  <c r="E32" i="12"/>
  <c r="A40" i="12"/>
  <c r="E54" i="12"/>
  <c r="E46" i="12"/>
  <c r="A56" i="12"/>
  <c r="H55" i="9"/>
  <c r="E45" i="12"/>
  <c r="H38" i="9"/>
  <c r="K37" i="12"/>
  <c r="I57" i="12"/>
  <c r="I51" i="12"/>
  <c r="M57" i="12"/>
  <c r="K59" i="12"/>
  <c r="E38" i="12"/>
  <c r="I49" i="12"/>
  <c r="A62" i="12"/>
  <c r="E55" i="12"/>
  <c r="M51" i="12"/>
  <c r="E63" i="12"/>
  <c r="J57" i="9"/>
  <c r="E47" i="12"/>
  <c r="J52" i="9"/>
  <c r="F61" i="9"/>
  <c r="H44" i="9"/>
  <c r="F42" i="9"/>
  <c r="A45" i="12"/>
  <c r="H56" i="9"/>
  <c r="E50" i="12"/>
  <c r="K58" i="12"/>
  <c r="I65" i="12"/>
  <c r="H69" i="9"/>
  <c r="H36" i="9"/>
  <c r="K64" i="12"/>
  <c r="J54" i="9"/>
  <c r="I59" i="12"/>
  <c r="K62" i="12"/>
  <c r="A43" i="12"/>
  <c r="K52" i="12"/>
  <c r="F49" i="9"/>
  <c r="M62" i="12"/>
  <c r="M64" i="12"/>
  <c r="I37" i="12"/>
  <c r="M66" i="12"/>
  <c r="M59" i="12"/>
  <c r="F54" i="9"/>
  <c r="J55" i="9"/>
  <c r="H47" i="9"/>
  <c r="I64" i="12"/>
  <c r="F67" i="9"/>
  <c r="M56" i="12"/>
  <c r="M47" i="12"/>
  <c r="J37" i="9"/>
  <c r="A61" i="12"/>
  <c r="I62" i="12"/>
  <c r="F66" i="9"/>
  <c r="A64" i="12"/>
  <c r="M63" i="12"/>
  <c r="A49" i="12"/>
  <c r="E33" i="12"/>
  <c r="A55" i="12"/>
  <c r="I56" i="12"/>
  <c r="E44" i="12"/>
  <c r="M60" i="12"/>
  <c r="J42" i="9"/>
  <c r="M38" i="12"/>
  <c r="K48" i="12"/>
  <c r="I55" i="12"/>
  <c r="A60" i="12"/>
  <c r="E40" i="12"/>
  <c r="E42" i="12"/>
  <c r="F37" i="9"/>
  <c r="K39" i="12"/>
  <c r="A30" i="12"/>
  <c r="A29" i="12"/>
  <c r="A50" i="12"/>
  <c r="A33" i="12"/>
  <c r="F55" i="9"/>
  <c r="F59" i="9"/>
  <c r="K63" i="12"/>
  <c r="A37" i="12"/>
  <c r="E35" i="12"/>
  <c r="E37" i="12"/>
  <c r="E49" i="12"/>
  <c r="M34" i="12"/>
  <c r="J60" i="9"/>
  <c r="F45" i="9"/>
  <c r="A57" i="12"/>
  <c r="M52" i="12"/>
  <c r="K43" i="12"/>
  <c r="E61" i="12"/>
  <c r="H40" i="9"/>
  <c r="E64" i="12"/>
  <c r="K60" i="12"/>
  <c r="E66" i="12"/>
  <c r="F69" i="9"/>
  <c r="M53" i="12"/>
  <c r="F57" i="9"/>
  <c r="A46" i="12"/>
  <c r="M31" i="12"/>
  <c r="E48" i="12"/>
  <c r="A47" i="12"/>
  <c r="E60" i="12"/>
  <c r="E58" i="12"/>
  <c r="J41" i="9"/>
  <c r="I47" i="12"/>
  <c r="I48" i="12"/>
  <c r="I39" i="12"/>
  <c r="A39" i="12"/>
  <c r="E52" i="12"/>
  <c r="M54" i="12"/>
  <c r="K65" i="12"/>
  <c r="E30" i="12"/>
  <c r="H49" i="9"/>
  <c r="A58" i="12"/>
  <c r="M61" i="12"/>
  <c r="M48" i="12"/>
  <c r="K56" i="12"/>
  <c r="M30" i="12"/>
  <c r="K30" i="12"/>
  <c r="M49" i="12"/>
  <c r="E41" i="12"/>
  <c r="F38" i="9"/>
  <c r="K35" i="12"/>
  <c r="H37" i="9"/>
  <c r="K57" i="12"/>
  <c r="K42" i="12"/>
  <c r="A36" i="12"/>
  <c r="A59" i="12"/>
  <c r="E65" i="12"/>
  <c r="K40" i="12"/>
  <c r="F46" i="9"/>
  <c r="I46" i="12"/>
  <c r="M35" i="12"/>
  <c r="A35" i="12"/>
  <c r="K55" i="12"/>
  <c r="M40" i="12"/>
  <c r="F41" i="9"/>
  <c r="F51" i="9"/>
  <c r="M33" i="12"/>
  <c r="H59" i="9"/>
  <c r="H67" i="9"/>
  <c r="K7" i="18" l="1"/>
  <c r="K6" i="18"/>
  <c r="K17" i="18"/>
  <c r="K22" i="18"/>
  <c r="K21" i="18"/>
  <c r="K16" i="18"/>
  <c r="K12" i="18"/>
  <c r="K13" i="18"/>
  <c r="K11" i="18"/>
  <c r="K5" i="18"/>
  <c r="K18" i="18"/>
  <c r="K10" i="18"/>
  <c r="K4" i="18"/>
  <c r="K9" i="18"/>
  <c r="K14" i="18"/>
  <c r="K20" i="18"/>
  <c r="K8" i="18"/>
  <c r="D15" i="8"/>
  <c r="F15" i="8" s="1"/>
  <c r="I15" i="8"/>
  <c r="C1" i="6"/>
  <c r="D17" i="8"/>
  <c r="E17" i="8" s="1"/>
  <c r="B21" i="18"/>
  <c r="L22" i="18"/>
  <c r="L20" i="18"/>
  <c r="B22" i="18"/>
  <c r="I22" i="18"/>
  <c r="I20" i="18"/>
  <c r="B20" i="18"/>
  <c r="L21" i="18"/>
  <c r="I21" i="18"/>
  <c r="J21" i="18"/>
  <c r="J20" i="18"/>
  <c r="J22" i="18"/>
  <c r="C14" i="16"/>
  <c r="E149" i="12"/>
  <c r="C15" i="16"/>
  <c r="C16" i="16"/>
  <c r="C17" i="16"/>
  <c r="C19" i="16"/>
  <c r="C20" i="16"/>
  <c r="O16" i="14"/>
  <c r="P16" i="14" s="1"/>
  <c r="E152" i="12"/>
  <c r="E146" i="12"/>
  <c r="G20" i="14"/>
  <c r="H20" i="14" s="1"/>
  <c r="E145" i="12"/>
  <c r="G19" i="14"/>
  <c r="H19" i="14" s="1"/>
  <c r="E147" i="12"/>
  <c r="K16" i="14"/>
  <c r="L16" i="14" s="1"/>
  <c r="E156" i="12"/>
  <c r="O20" i="14"/>
  <c r="P20" i="14" s="1"/>
  <c r="O17" i="14"/>
  <c r="P17" i="14" s="1"/>
  <c r="E153" i="12"/>
  <c r="K20" i="14"/>
  <c r="L20" i="14" s="1"/>
  <c r="E151" i="12"/>
  <c r="E143" i="12"/>
  <c r="G17" i="14"/>
  <c r="H17" i="14" s="1"/>
  <c r="E144" i="12"/>
  <c r="G18" i="14"/>
  <c r="H18" i="14" s="1"/>
  <c r="C22" i="16"/>
  <c r="C18" i="16"/>
  <c r="C13" i="16"/>
  <c r="C23" i="16"/>
  <c r="E35" i="10"/>
  <c r="K11" i="10"/>
  <c r="E11" i="10" s="1"/>
  <c r="E25" i="10"/>
  <c r="E26" i="10"/>
  <c r="L21" i="10"/>
  <c r="F21" i="10" s="1"/>
  <c r="L23" i="10"/>
  <c r="F23" i="10" s="1"/>
  <c r="L33" i="10"/>
  <c r="F33" i="10" s="1"/>
  <c r="L27" i="10"/>
  <c r="F27" i="10" s="1"/>
  <c r="L26" i="10"/>
  <c r="F26" i="10" s="1"/>
  <c r="L24" i="10"/>
  <c r="F24" i="10" s="1"/>
  <c r="L34" i="10"/>
  <c r="F34" i="10" s="1"/>
  <c r="E27" i="10"/>
  <c r="L28" i="10"/>
  <c r="F28" i="10" s="1"/>
  <c r="E24" i="10"/>
  <c r="L25" i="10"/>
  <c r="F25" i="10" s="1"/>
  <c r="E28" i="10"/>
  <c r="L31" i="10"/>
  <c r="F31" i="10" s="1"/>
  <c r="E33" i="10"/>
  <c r="E31" i="10"/>
  <c r="L22" i="10"/>
  <c r="P15" i="10"/>
  <c r="K15" i="10" s="1"/>
  <c r="E15" i="10" s="1"/>
  <c r="P17" i="10"/>
  <c r="K17" i="10" s="1"/>
  <c r="A2" i="9"/>
  <c r="G2" i="6"/>
  <c r="V2" i="14" s="1"/>
  <c r="E64" i="10"/>
  <c r="W16" i="14"/>
  <c r="V10" i="6"/>
  <c r="V12" i="6"/>
  <c r="V9" i="6"/>
  <c r="V18" i="6"/>
  <c r="V8" i="6"/>
  <c r="V19" i="6"/>
  <c r="V14" i="6"/>
  <c r="V7" i="6"/>
  <c r="D5" i="9"/>
  <c r="V13" i="6"/>
  <c r="V25" i="6"/>
  <c r="P12" i="10"/>
  <c r="K12" i="10" s="1"/>
  <c r="E12" i="10" s="1"/>
  <c r="X19" i="6"/>
  <c r="X20" i="6"/>
  <c r="Y20" i="6" s="1"/>
  <c r="E20" i="6" s="1"/>
  <c r="E29" i="9" s="1"/>
  <c r="K13" i="10"/>
  <c r="X16" i="6"/>
  <c r="X15" i="6"/>
  <c r="E13" i="10"/>
  <c r="C24" i="7"/>
  <c r="C94" i="9" s="1"/>
  <c r="K2" i="12"/>
  <c r="O5" i="14"/>
  <c r="P64" i="10"/>
  <c r="L64" i="10" s="1"/>
  <c r="G64" i="10"/>
  <c r="H20" i="10"/>
  <c r="E20" i="10" s="1"/>
  <c r="K64" i="10"/>
  <c r="H64" i="10" s="1"/>
  <c r="M190" i="8"/>
  <c r="D190" i="8" s="1"/>
  <c r="I190" i="8" s="1"/>
  <c r="M68" i="8"/>
  <c r="D68" i="8" s="1"/>
  <c r="G34" i="14" s="1"/>
  <c r="G68" i="10"/>
  <c r="V22" i="6"/>
  <c r="D4" i="9"/>
  <c r="G2" i="12"/>
  <c r="C23" i="7"/>
  <c r="C93" i="9" s="1"/>
  <c r="M231" i="8"/>
  <c r="D231" i="8" s="1"/>
  <c r="F231" i="8" s="1"/>
  <c r="M273" i="8"/>
  <c r="D273" i="8" s="1"/>
  <c r="F273" i="8" s="1"/>
  <c r="M125" i="8"/>
  <c r="D125" i="8" s="1"/>
  <c r="E125" i="8" s="1"/>
  <c r="V21" i="6"/>
  <c r="V17" i="6"/>
  <c r="P68" i="10"/>
  <c r="M345" i="8"/>
  <c r="D345" i="8" s="1"/>
  <c r="E345" i="8" s="1"/>
  <c r="J4" i="9"/>
  <c r="K68" i="10"/>
  <c r="F48" i="10"/>
  <c r="I2" i="14"/>
  <c r="M2" i="12"/>
  <c r="M307" i="8"/>
  <c r="D307" i="8" s="1"/>
  <c r="F307" i="8" s="1"/>
  <c r="V23" i="6"/>
  <c r="V26" i="6"/>
  <c r="V16" i="6"/>
  <c r="M34" i="8"/>
  <c r="C75" i="7"/>
  <c r="B16" i="14" s="1"/>
  <c r="M69" i="8"/>
  <c r="D69" i="8" s="1"/>
  <c r="G35" i="14" s="1"/>
  <c r="B3" i="6"/>
  <c r="V1" i="14" s="1"/>
  <c r="E68" i="10"/>
  <c r="V15" i="6"/>
  <c r="V20" i="6"/>
  <c r="V11" i="6"/>
  <c r="V24" i="6"/>
  <c r="C22" i="7"/>
  <c r="C92" i="9" s="1"/>
  <c r="M151" i="8"/>
  <c r="D151" i="8" s="1"/>
  <c r="F151" i="8" s="1"/>
  <c r="M5" i="14"/>
  <c r="E14" i="10"/>
  <c r="K10" i="10"/>
  <c r="G4" i="1"/>
  <c r="G5" i="1" s="1"/>
  <c r="AA17" i="14" s="1"/>
  <c r="E49" i="10"/>
  <c r="F83" i="10"/>
  <c r="G49" i="10"/>
  <c r="P49" i="10"/>
  <c r="L49" i="10" s="1"/>
  <c r="I2" i="6"/>
  <c r="V5" i="14" s="1"/>
  <c r="K49" i="10"/>
  <c r="Q2" i="14"/>
  <c r="F86" i="10"/>
  <c r="G48" i="10"/>
  <c r="L48" i="10"/>
  <c r="K48" i="10"/>
  <c r="E48" i="10"/>
  <c r="L20" i="10"/>
  <c r="F20" i="10" s="1"/>
  <c r="P10" i="10"/>
  <c r="P21" i="3"/>
  <c r="P22" i="3"/>
  <c r="P23" i="3"/>
  <c r="P18" i="3"/>
  <c r="P19" i="3" s="1"/>
  <c r="T8" i="6"/>
  <c r="B8" i="6" s="1"/>
  <c r="L8" i="6" s="1"/>
  <c r="L17" i="9" s="1"/>
  <c r="P53" i="3"/>
  <c r="P54" i="3" s="1"/>
  <c r="T16" i="6"/>
  <c r="B16" i="6" s="1"/>
  <c r="A23" i="12" s="1"/>
  <c r="P26" i="3"/>
  <c r="P27" i="3" s="1"/>
  <c r="F43" i="10"/>
  <c r="F61" i="10" s="1"/>
  <c r="K43" i="10"/>
  <c r="J9" i="15"/>
  <c r="J8" i="15"/>
  <c r="J7" i="15"/>
  <c r="J6" i="15"/>
  <c r="J5" i="15"/>
  <c r="J13" i="15"/>
  <c r="J12" i="15"/>
  <c r="J4" i="15"/>
  <c r="J10" i="15"/>
  <c r="J11" i="15"/>
  <c r="J3" i="15"/>
  <c r="P86" i="10"/>
  <c r="K86" i="10"/>
  <c r="K14" i="10"/>
  <c r="K16" i="10"/>
  <c r="E16" i="10" s="1"/>
  <c r="M3" i="12"/>
  <c r="P79" i="10"/>
  <c r="E79" i="10"/>
  <c r="P57" i="10"/>
  <c r="L57" i="10" s="1"/>
  <c r="G3" i="12"/>
  <c r="B14" i="1"/>
  <c r="V16" i="14"/>
  <c r="H391" i="8"/>
  <c r="I391" i="8"/>
  <c r="D6" i="9"/>
  <c r="W17" i="14"/>
  <c r="O2" i="14"/>
  <c r="Z16" i="14"/>
  <c r="P13" i="3"/>
  <c r="P14" i="3" s="1"/>
  <c r="P15" i="3" s="1"/>
  <c r="T14" i="6" s="1"/>
  <c r="B14" i="6" s="1"/>
  <c r="L14" i="6" s="1"/>
  <c r="L23" i="9" s="1"/>
  <c r="T19" i="6"/>
  <c r="B19" i="6" s="1"/>
  <c r="L19" i="6" s="1"/>
  <c r="O26" i="12" s="1"/>
  <c r="P3" i="3"/>
  <c r="P4" i="3" s="1"/>
  <c r="P5" i="3" s="1"/>
  <c r="P6" i="3" s="1"/>
  <c r="T21" i="6"/>
  <c r="B21" i="6" s="1"/>
  <c r="L21" i="6" s="1"/>
  <c r="G79" i="10"/>
  <c r="K79" i="10"/>
  <c r="G86" i="10"/>
  <c r="G47" i="10"/>
  <c r="F51" i="10"/>
  <c r="E51" i="10"/>
  <c r="E60" i="10"/>
  <c r="F60" i="10"/>
  <c r="K60" i="10"/>
  <c r="F457" i="8"/>
  <c r="G83" i="10"/>
  <c r="K87" i="10"/>
  <c r="P87" i="10"/>
  <c r="E83" i="10"/>
  <c r="K83" i="10"/>
  <c r="E87" i="10"/>
  <c r="E512" i="8"/>
  <c r="F87" i="10"/>
  <c r="I167" i="8"/>
  <c r="E43" i="10"/>
  <c r="G55" i="10"/>
  <c r="G43" i="10"/>
  <c r="E47" i="10"/>
  <c r="P47" i="10"/>
  <c r="M47" i="10" s="1"/>
  <c r="K47" i="10"/>
  <c r="H24" i="6"/>
  <c r="E55" i="10"/>
  <c r="P55" i="10"/>
  <c r="M55" i="10" s="1"/>
  <c r="X10" i="6"/>
  <c r="Y10" i="6" s="1"/>
  <c r="E10" i="6" s="1"/>
  <c r="B15" i="1"/>
  <c r="M60" i="10"/>
  <c r="G60" i="10"/>
  <c r="X9" i="6"/>
  <c r="Y9" i="6" s="1"/>
  <c r="E9" i="6" s="1"/>
  <c r="F55" i="10"/>
  <c r="E16" i="8"/>
  <c r="G4" i="12"/>
  <c r="D25" i="6"/>
  <c r="P58" i="10"/>
  <c r="M58" i="10" s="1"/>
  <c r="E58" i="10"/>
  <c r="E59" i="10"/>
  <c r="P51" i="10"/>
  <c r="L51" i="10" s="1"/>
  <c r="G51" i="10"/>
  <c r="K56" i="10"/>
  <c r="E56" i="10"/>
  <c r="F58" i="10"/>
  <c r="G58" i="10"/>
  <c r="E46" i="10"/>
  <c r="L7" i="9"/>
  <c r="B10" i="1"/>
  <c r="F85" i="8"/>
  <c r="I51" i="14" s="1"/>
  <c r="B11" i="1"/>
  <c r="D11" i="1" s="1"/>
  <c r="E11" i="1" s="1"/>
  <c r="I166" i="8"/>
  <c r="E45" i="10"/>
  <c r="M45" i="10"/>
  <c r="G166" i="8"/>
  <c r="E85" i="8"/>
  <c r="H51" i="14" s="1"/>
  <c r="K45" i="10"/>
  <c r="G45" i="10"/>
  <c r="F45" i="10"/>
  <c r="X21" i="6"/>
  <c r="E375" i="8"/>
  <c r="X11" i="6"/>
  <c r="Y11" i="6" s="1"/>
  <c r="E11" i="6" s="1"/>
  <c r="X25" i="6"/>
  <c r="Y25" i="6" s="1"/>
  <c r="E25" i="6" s="1"/>
  <c r="X8" i="6"/>
  <c r="X22" i="6"/>
  <c r="F342" i="8"/>
  <c r="X7" i="6"/>
  <c r="B16" i="1"/>
  <c r="C4" i="9"/>
  <c r="X17" i="6"/>
  <c r="Y17" i="6" s="1"/>
  <c r="E17" i="6" s="1"/>
  <c r="H24" i="12" s="1"/>
  <c r="X14" i="6"/>
  <c r="X12" i="6"/>
  <c r="Y12" i="6" s="1"/>
  <c r="E12" i="6" s="1"/>
  <c r="H19" i="12" s="1"/>
  <c r="B18" i="1"/>
  <c r="J2" i="12"/>
  <c r="F373" i="8"/>
  <c r="X23" i="6"/>
  <c r="Y23" i="6" s="1"/>
  <c r="E23" i="6" s="1"/>
  <c r="B19" i="1"/>
  <c r="E204" i="8"/>
  <c r="B17" i="1"/>
  <c r="G559" i="8"/>
  <c r="B20" i="1"/>
  <c r="X18" i="6"/>
  <c r="B12" i="1"/>
  <c r="B13" i="1"/>
  <c r="X24" i="6"/>
  <c r="Y24" i="6" s="1"/>
  <c r="E24" i="6" s="1"/>
  <c r="X13" i="6"/>
  <c r="X26" i="6"/>
  <c r="E509" i="8"/>
  <c r="F509" i="8"/>
  <c r="I560" i="8"/>
  <c r="G59" i="10"/>
  <c r="I436" i="8"/>
  <c r="P56" i="10"/>
  <c r="L56" i="10" s="1"/>
  <c r="F50" i="10"/>
  <c r="F17" i="8"/>
  <c r="I290" i="8"/>
  <c r="P50" i="10"/>
  <c r="M50" i="10" s="1"/>
  <c r="P46" i="10"/>
  <c r="L46" i="10" s="1"/>
  <c r="K50" i="10"/>
  <c r="F357" i="8"/>
  <c r="E15" i="8"/>
  <c r="E226" i="8"/>
  <c r="G357" i="8"/>
  <c r="I48" i="8"/>
  <c r="I5" i="1"/>
  <c r="G57" i="10"/>
  <c r="H322" i="8"/>
  <c r="I512" i="8"/>
  <c r="G56" i="10"/>
  <c r="H512" i="8"/>
  <c r="H357" i="8"/>
  <c r="P59" i="10"/>
  <c r="M59" i="10" s="1"/>
  <c r="G53" i="10"/>
  <c r="K59" i="10"/>
  <c r="K53" i="10"/>
  <c r="F542" i="8"/>
  <c r="E50" i="10"/>
  <c r="H207" i="8"/>
  <c r="P53" i="10"/>
  <c r="K46" i="10"/>
  <c r="F63" i="8"/>
  <c r="F53" i="10"/>
  <c r="G46" i="10"/>
  <c r="P44" i="10"/>
  <c r="L44" i="10" s="1"/>
  <c r="J5" i="9"/>
  <c r="E583" i="8"/>
  <c r="C6" i="1"/>
  <c r="G4" i="9"/>
  <c r="F492" i="8"/>
  <c r="B11" i="9"/>
  <c r="AG3" i="12"/>
  <c r="D205" i="8"/>
  <c r="E205" i="8" s="1"/>
  <c r="E166" i="8"/>
  <c r="F166" i="8"/>
  <c r="F167" i="8"/>
  <c r="E167" i="8"/>
  <c r="F494" i="8"/>
  <c r="A82" i="14"/>
  <c r="O5" i="12"/>
  <c r="A159" i="12"/>
  <c r="H245" i="8"/>
  <c r="I245" i="8"/>
  <c r="H513" i="8"/>
  <c r="F227" i="8"/>
  <c r="H168" i="8"/>
  <c r="I168" i="8"/>
  <c r="R82" i="14"/>
  <c r="O159" i="12"/>
  <c r="L179" i="9"/>
  <c r="F581" i="8"/>
  <c r="D289" i="8"/>
  <c r="E289" i="8" s="1"/>
  <c r="F2" i="12"/>
  <c r="G2" i="14"/>
  <c r="F183" i="8"/>
  <c r="F534" i="8"/>
  <c r="D3" i="1"/>
  <c r="D4" i="1" s="1"/>
  <c r="H393" i="8"/>
  <c r="I393" i="8"/>
  <c r="I474" i="8"/>
  <c r="H474" i="8"/>
  <c r="E83" i="8"/>
  <c r="H49" i="14" s="1"/>
  <c r="G49" i="14"/>
  <c r="E84" i="8"/>
  <c r="H50" i="14" s="1"/>
  <c r="G50" i="14"/>
  <c r="F87" i="8"/>
  <c r="I53" i="14" s="1"/>
  <c r="G53" i="14"/>
  <c r="F580" i="8"/>
  <c r="E589" i="8"/>
  <c r="H77" i="14" s="1"/>
  <c r="G77" i="14"/>
  <c r="G71" i="10"/>
  <c r="F83" i="8"/>
  <c r="I49" i="14" s="1"/>
  <c r="E86" i="8"/>
  <c r="H52" i="14" s="1"/>
  <c r="G52" i="14"/>
  <c r="F88" i="8"/>
  <c r="I54" i="14" s="1"/>
  <c r="G54" i="14"/>
  <c r="L14" i="12"/>
  <c r="I16" i="9"/>
  <c r="J17" i="12"/>
  <c r="G17" i="9"/>
  <c r="L18" i="12"/>
  <c r="K13" i="14"/>
  <c r="J17" i="9"/>
  <c r="G10" i="14"/>
  <c r="B18" i="9"/>
  <c r="A11" i="14"/>
  <c r="I18" i="9"/>
  <c r="K11" i="14"/>
  <c r="A14" i="12"/>
  <c r="A9" i="14"/>
  <c r="A18" i="12"/>
  <c r="A13" i="14"/>
  <c r="N15" i="12"/>
  <c r="H10" i="14"/>
  <c r="I17" i="9"/>
  <c r="K10" i="14"/>
  <c r="L10" i="6"/>
  <c r="L19" i="9" s="1"/>
  <c r="A12" i="14"/>
  <c r="G3" i="8"/>
  <c r="H3" i="8"/>
  <c r="E44" i="10"/>
  <c r="F224" i="8"/>
  <c r="F533" i="8"/>
  <c r="E491" i="8"/>
  <c r="F491" i="8"/>
  <c r="F582" i="8"/>
  <c r="E582" i="8"/>
  <c r="F86" i="8"/>
  <c r="I52" i="14" s="1"/>
  <c r="E221" i="8"/>
  <c r="E374" i="8"/>
  <c r="F374" i="8"/>
  <c r="F304" i="8"/>
  <c r="E304" i="8"/>
  <c r="H5" i="8"/>
  <c r="G5" i="8"/>
  <c r="I4" i="8"/>
  <c r="H4" i="8"/>
  <c r="G4" i="8"/>
  <c r="F71" i="10"/>
  <c r="P71" i="10"/>
  <c r="K71" i="10"/>
  <c r="F81" i="10"/>
  <c r="K81" i="10"/>
  <c r="P81" i="10"/>
  <c r="G81" i="10"/>
  <c r="F78" i="10"/>
  <c r="F67" i="10"/>
  <c r="P66" i="10"/>
  <c r="L66" i="10" s="1"/>
  <c r="E66" i="10"/>
  <c r="G78" i="10"/>
  <c r="E78" i="10"/>
  <c r="K65" i="10"/>
  <c r="P82" i="10"/>
  <c r="F225" i="8"/>
  <c r="E225" i="8"/>
  <c r="E82" i="10"/>
  <c r="K82" i="10"/>
  <c r="F82" i="10"/>
  <c r="P78" i="10"/>
  <c r="K70" i="10"/>
  <c r="P70" i="10"/>
  <c r="G66" i="10"/>
  <c r="F66" i="10"/>
  <c r="E67" i="10"/>
  <c r="G44" i="10"/>
  <c r="K54" i="10"/>
  <c r="M54" i="10"/>
  <c r="F54" i="10"/>
  <c r="G54" i="10"/>
  <c r="E54" i="10"/>
  <c r="K44" i="10"/>
  <c r="F118" i="10"/>
  <c r="K57" i="10"/>
  <c r="G70" i="10"/>
  <c r="E57" i="10"/>
  <c r="E80" i="10"/>
  <c r="G97" i="10"/>
  <c r="F70" i="10"/>
  <c r="K67" i="10"/>
  <c r="H67" i="10" s="1"/>
  <c r="P67" i="10"/>
  <c r="L67" i="10" s="1"/>
  <c r="F22" i="10"/>
  <c r="E21" i="10"/>
  <c r="F38" i="10"/>
  <c r="E38" i="10"/>
  <c r="E37" i="10"/>
  <c r="P80" i="10"/>
  <c r="K80" i="10"/>
  <c r="G80" i="10"/>
  <c r="J24" i="12"/>
  <c r="L25" i="6"/>
  <c r="I26" i="9"/>
  <c r="A27" i="12"/>
  <c r="D20" i="6"/>
  <c r="G27" i="12" s="1"/>
  <c r="K28" i="9"/>
  <c r="J16" i="9"/>
  <c r="D12" i="6"/>
  <c r="G19" i="12" s="1"/>
  <c r="I29" i="9"/>
  <c r="L20" i="6"/>
  <c r="L29" i="9" s="1"/>
  <c r="I22" i="9"/>
  <c r="K26" i="12"/>
  <c r="K27" i="12"/>
  <c r="K16" i="9"/>
  <c r="L12" i="6"/>
  <c r="L21" i="9" s="1"/>
  <c r="H11" i="6"/>
  <c r="H20" i="9" s="1"/>
  <c r="J17" i="18" s="1"/>
  <c r="L11" i="6"/>
  <c r="L20" i="9" s="1"/>
  <c r="M27" i="12"/>
  <c r="J26" i="12"/>
  <c r="L26" i="12"/>
  <c r="L15" i="12"/>
  <c r="M15" i="12"/>
  <c r="B21" i="9"/>
  <c r="N27" i="12"/>
  <c r="T18" i="6"/>
  <c r="B18" i="6" s="1"/>
  <c r="G511" i="8"/>
  <c r="D511" i="8"/>
  <c r="I358" i="8"/>
  <c r="H358" i="8"/>
  <c r="F47" i="8"/>
  <c r="E47" i="8"/>
  <c r="AX24" i="5"/>
  <c r="AX25" i="5" s="1"/>
  <c r="AY23" i="5"/>
  <c r="E52" i="10"/>
  <c r="F52" i="10"/>
  <c r="G52" i="10"/>
  <c r="K52" i="10"/>
  <c r="P52" i="10"/>
  <c r="G244" i="8"/>
  <c r="H244" i="8"/>
  <c r="E559" i="8"/>
  <c r="F559" i="8"/>
  <c r="D135" i="8"/>
  <c r="H135" i="8"/>
  <c r="E541" i="8"/>
  <c r="F541" i="8"/>
  <c r="AY26" i="5"/>
  <c r="AX27" i="5"/>
  <c r="AX28" i="5" s="1"/>
  <c r="AX29" i="5" s="1"/>
  <c r="H232" i="8"/>
  <c r="I232" i="8"/>
  <c r="D232" i="8"/>
  <c r="D418" i="8"/>
  <c r="I418" i="8"/>
  <c r="G46" i="8"/>
  <c r="H46" i="8"/>
  <c r="D46" i="8"/>
  <c r="O78" i="8"/>
  <c r="O73" i="8"/>
  <c r="O76" i="8"/>
  <c r="AT20" i="5"/>
  <c r="AS21" i="5"/>
  <c r="AS22" i="5" s="1"/>
  <c r="I24" i="9"/>
  <c r="J16" i="12"/>
  <c r="J24" i="9"/>
  <c r="D11" i="6"/>
  <c r="G40" i="10"/>
  <c r="N22" i="12"/>
  <c r="K17" i="12"/>
  <c r="B20" i="9"/>
  <c r="K15" i="12"/>
  <c r="K11" i="6"/>
  <c r="N18" i="12" s="1"/>
  <c r="K16" i="12"/>
  <c r="K17" i="9"/>
  <c r="H24" i="9"/>
  <c r="J19" i="9"/>
  <c r="A24" i="12"/>
  <c r="K17" i="6"/>
  <c r="N24" i="12" s="1"/>
  <c r="D17" i="6"/>
  <c r="G24" i="12" s="1"/>
  <c r="L17" i="6"/>
  <c r="O24" i="12" s="1"/>
  <c r="D24" i="6"/>
  <c r="K24" i="6"/>
  <c r="L24" i="6"/>
  <c r="B19" i="9"/>
  <c r="I19" i="9"/>
  <c r="L17" i="12"/>
  <c r="D23" i="6"/>
  <c r="M19" i="12"/>
  <c r="N17" i="12"/>
  <c r="K19" i="9"/>
  <c r="D9" i="6"/>
  <c r="K23" i="9"/>
  <c r="K9" i="6"/>
  <c r="K18" i="9" s="1"/>
  <c r="L9" i="6"/>
  <c r="O16" i="12" s="1"/>
  <c r="A16" i="12"/>
  <c r="J19" i="12"/>
  <c r="K21" i="9"/>
  <c r="L23" i="12"/>
  <c r="G25" i="9"/>
  <c r="H206" i="8"/>
  <c r="D206" i="8"/>
  <c r="K75" i="10"/>
  <c r="E75" i="10"/>
  <c r="P75" i="10"/>
  <c r="G75" i="10"/>
  <c r="F75" i="10"/>
  <c r="E510" i="8"/>
  <c r="F510" i="8"/>
  <c r="I108" i="8"/>
  <c r="R66" i="14" s="1"/>
  <c r="H108" i="8"/>
  <c r="Q66" i="14" s="1"/>
  <c r="G108" i="8"/>
  <c r="P66" i="14" s="1"/>
  <c r="AK12" i="5"/>
  <c r="AK13" i="5" s="1"/>
  <c r="AK14" i="5" s="1"/>
  <c r="AL11" i="5"/>
  <c r="AN15" i="5"/>
  <c r="AM16" i="5"/>
  <c r="AM17" i="5" s="1"/>
  <c r="AM18" i="5" s="1"/>
  <c r="AM19" i="5" s="1"/>
  <c r="N9" i="13"/>
  <c r="M8" i="13"/>
  <c r="H18" i="8"/>
  <c r="I18" i="8"/>
  <c r="I5" i="2"/>
  <c r="T5" i="2"/>
  <c r="G159" i="8"/>
  <c r="I159" i="8"/>
  <c r="P10" i="3"/>
  <c r="T22" i="6"/>
  <c r="B22" i="6" s="1"/>
  <c r="F558" i="8"/>
  <c r="E558" i="8"/>
  <c r="M43" i="10"/>
  <c r="L43" i="10"/>
  <c r="G35" i="8"/>
  <c r="D35" i="8"/>
  <c r="E499" i="8"/>
  <c r="F499" i="8"/>
  <c r="I203" i="8"/>
  <c r="D203" i="8"/>
  <c r="G203" i="8"/>
  <c r="H284" i="8"/>
  <c r="I284" i="8"/>
  <c r="I3" i="6"/>
  <c r="V4" i="14" s="1"/>
  <c r="G1" i="6"/>
  <c r="V6" i="14" s="1"/>
  <c r="I4" i="9"/>
  <c r="L2" i="12"/>
  <c r="G3" i="6"/>
  <c r="V3" i="14" s="1"/>
  <c r="D10" i="6"/>
  <c r="H12" i="14" s="1"/>
  <c r="E70" i="8"/>
  <c r="H36" i="14" s="1"/>
  <c r="F70" i="8"/>
  <c r="I36" i="14" s="1"/>
  <c r="I69" i="8"/>
  <c r="N35" i="14" s="1"/>
  <c r="AF8" i="5"/>
  <c r="AE9" i="5"/>
  <c r="AE10" i="5" s="1"/>
  <c r="Y5" i="5"/>
  <c r="X6" i="5"/>
  <c r="X7" i="5" s="1"/>
  <c r="I423" i="8"/>
  <c r="H423" i="8"/>
  <c r="A17" i="12"/>
  <c r="G553" i="8"/>
  <c r="H553" i="8"/>
  <c r="E73" i="10"/>
  <c r="K73" i="10"/>
  <c r="F73" i="10"/>
  <c r="P73" i="10"/>
  <c r="E455" i="8"/>
  <c r="F455" i="8"/>
  <c r="G38" i="8"/>
  <c r="H38" i="8"/>
  <c r="I14" i="8"/>
  <c r="D14" i="8"/>
  <c r="H435" i="8"/>
  <c r="G435" i="8"/>
  <c r="H384" i="8"/>
  <c r="G384" i="8"/>
  <c r="I384" i="8"/>
  <c r="G73" i="10"/>
  <c r="K19" i="12"/>
  <c r="H21" i="9"/>
  <c r="B16" i="9"/>
  <c r="L7" i="6"/>
  <c r="K23" i="6"/>
  <c r="G23" i="9"/>
  <c r="J21" i="12"/>
  <c r="J23" i="9"/>
  <c r="M21" i="12"/>
  <c r="H23" i="9"/>
  <c r="K21" i="12"/>
  <c r="E7" i="6"/>
  <c r="I9" i="14" s="1"/>
  <c r="H27" i="9"/>
  <c r="K25" i="12"/>
  <c r="K27" i="9"/>
  <c r="N25" i="12"/>
  <c r="J25" i="12"/>
  <c r="G27" i="9"/>
  <c r="I27" i="9"/>
  <c r="L25" i="12"/>
  <c r="M25" i="12"/>
  <c r="J27" i="9"/>
  <c r="M20" i="12"/>
  <c r="J22" i="9"/>
  <c r="K22" i="9"/>
  <c r="N20" i="12"/>
  <c r="K20" i="12"/>
  <c r="H22" i="9"/>
  <c r="M32" i="12"/>
  <c r="H35" i="9"/>
  <c r="J34" i="9"/>
  <c r="F34" i="9"/>
  <c r="K31" i="12"/>
  <c r="H43" i="9"/>
  <c r="F60" i="9"/>
  <c r="M37" i="12"/>
  <c r="K32" i="12"/>
  <c r="K41" i="12"/>
  <c r="I58" i="12"/>
  <c r="I66" i="12"/>
  <c r="F68" i="9"/>
  <c r="J47" i="9"/>
  <c r="F61" i="12"/>
  <c r="H68" i="9"/>
  <c r="M42" i="12"/>
  <c r="I33" i="12"/>
  <c r="M46" i="12"/>
  <c r="I31" i="12"/>
  <c r="H63" i="9"/>
  <c r="K61" i="12"/>
  <c r="J39" i="9"/>
  <c r="H34" i="9"/>
  <c r="M41" i="12"/>
  <c r="K66" i="12"/>
  <c r="I63" i="12"/>
  <c r="I61" i="12"/>
  <c r="M43" i="12"/>
  <c r="F33" i="9"/>
  <c r="J44" i="9"/>
  <c r="F65" i="9"/>
  <c r="K46" i="12"/>
  <c r="F63" i="9"/>
  <c r="M45" i="12"/>
  <c r="H33" i="9"/>
  <c r="F35" i="9"/>
  <c r="J43" i="9"/>
  <c r="J45" i="9"/>
  <c r="I32" i="12"/>
  <c r="J48" i="9"/>
  <c r="K33" i="12"/>
  <c r="C63" i="9"/>
  <c r="J18" i="18" l="1"/>
  <c r="E157" i="12"/>
  <c r="K19" i="14"/>
  <c r="L19" i="14" s="1"/>
  <c r="E150" i="12"/>
  <c r="O5" i="10"/>
  <c r="O6" i="10" s="1"/>
  <c r="O7" i="10" s="1"/>
  <c r="F10" i="9"/>
  <c r="AG4" i="12"/>
  <c r="E17" i="10"/>
  <c r="E151" i="8"/>
  <c r="F125" i="8"/>
  <c r="E68" i="8"/>
  <c r="H34" i="14" s="1"/>
  <c r="F68" i="8"/>
  <c r="I34" i="14" s="1"/>
  <c r="F345" i="8"/>
  <c r="H5" i="9"/>
  <c r="E231" i="8"/>
  <c r="G6" i="1"/>
  <c r="AA18" i="14" s="1"/>
  <c r="H6" i="9"/>
  <c r="K4" i="12"/>
  <c r="K3" i="12"/>
  <c r="AC9" i="12"/>
  <c r="C2" i="6"/>
  <c r="M57" i="10"/>
  <c r="AG8" i="12"/>
  <c r="B12" i="9"/>
  <c r="F190" i="8"/>
  <c r="E190" i="8"/>
  <c r="F90" i="12"/>
  <c r="C144" i="9"/>
  <c r="F136" i="12"/>
  <c r="I11" i="9"/>
  <c r="AA16" i="14"/>
  <c r="M49" i="10"/>
  <c r="L47" i="10"/>
  <c r="B25" i="9"/>
  <c r="T15" i="6"/>
  <c r="B15" i="6" s="1"/>
  <c r="B24" i="9" s="1"/>
  <c r="B17" i="9"/>
  <c r="D8" i="6"/>
  <c r="D17" i="9" s="1"/>
  <c r="K16" i="6"/>
  <c r="K25" i="9" s="1"/>
  <c r="D16" i="6"/>
  <c r="G23" i="12" s="1"/>
  <c r="A15" i="12"/>
  <c r="L16" i="6"/>
  <c r="O23" i="12" s="1"/>
  <c r="Y16" i="6"/>
  <c r="E16" i="6" s="1"/>
  <c r="E25" i="9" s="1"/>
  <c r="A10" i="14"/>
  <c r="Y8" i="6"/>
  <c r="E8" i="6" s="1"/>
  <c r="E17" i="9" s="1"/>
  <c r="D19" i="6"/>
  <c r="D28" i="9" s="1"/>
  <c r="C5" i="9"/>
  <c r="E307" i="8"/>
  <c r="I6" i="1"/>
  <c r="M5" i="12" s="1"/>
  <c r="AB17" i="14"/>
  <c r="C7" i="1"/>
  <c r="W19" i="14" s="1"/>
  <c r="W18" i="14"/>
  <c r="C20" i="6"/>
  <c r="F27" i="12" s="1"/>
  <c r="B4" i="6"/>
  <c r="G4" i="6" s="1"/>
  <c r="X16" i="14"/>
  <c r="Y19" i="6"/>
  <c r="E19" i="6" s="1"/>
  <c r="H26" i="12" s="1"/>
  <c r="A21" i="12"/>
  <c r="D14" i="6"/>
  <c r="D23" i="9" s="1"/>
  <c r="J11" i="18" s="1"/>
  <c r="L28" i="9"/>
  <c r="O21" i="12"/>
  <c r="A26" i="12"/>
  <c r="P16" i="3"/>
  <c r="B23" i="9"/>
  <c r="Y14" i="6"/>
  <c r="E14" i="6" s="1"/>
  <c r="E23" i="9" s="1"/>
  <c r="B28" i="9"/>
  <c r="D21" i="6"/>
  <c r="T26" i="6"/>
  <c r="B26" i="6" s="1"/>
  <c r="Y26" i="6" s="1"/>
  <c r="E26" i="6" s="1"/>
  <c r="Y21" i="6"/>
  <c r="E21" i="6" s="1"/>
  <c r="L55" i="10"/>
  <c r="L58" i="10"/>
  <c r="E273" i="8"/>
  <c r="M51" i="10"/>
  <c r="J6" i="9"/>
  <c r="M56" i="10"/>
  <c r="J11" i="1"/>
  <c r="F199" i="9" s="1"/>
  <c r="M46" i="10"/>
  <c r="B5" i="1"/>
  <c r="V17" i="14" s="1"/>
  <c r="F3" i="12"/>
  <c r="T3" i="2"/>
  <c r="I1" i="6" s="1"/>
  <c r="I3" i="2"/>
  <c r="E3" i="1" s="1"/>
  <c r="E4" i="1" s="1"/>
  <c r="M44" i="10"/>
  <c r="L59" i="10"/>
  <c r="G7" i="6"/>
  <c r="G16" i="9" s="1"/>
  <c r="B16" i="18" s="1"/>
  <c r="C18" i="6"/>
  <c r="F25" i="12" s="1"/>
  <c r="J17" i="6"/>
  <c r="J26" i="9" s="1"/>
  <c r="L50" i="10"/>
  <c r="M4" i="12"/>
  <c r="C16" i="6"/>
  <c r="F23" i="12" s="1"/>
  <c r="C25" i="6"/>
  <c r="E61" i="10"/>
  <c r="C9" i="6"/>
  <c r="F16" i="12" s="1"/>
  <c r="J24" i="6"/>
  <c r="G11" i="6"/>
  <c r="G20" i="9" s="1"/>
  <c r="G5" i="12"/>
  <c r="F205" i="8"/>
  <c r="C10" i="6"/>
  <c r="G12" i="14" s="1"/>
  <c r="C24" i="6"/>
  <c r="C21" i="6"/>
  <c r="M53" i="10"/>
  <c r="L53" i="10"/>
  <c r="J23" i="6"/>
  <c r="G24" i="6"/>
  <c r="J16" i="6"/>
  <c r="M23" i="12" s="1"/>
  <c r="C19" i="6"/>
  <c r="F26" i="12" s="1"/>
  <c r="D7" i="9"/>
  <c r="C17" i="6"/>
  <c r="F24" i="12" s="1"/>
  <c r="C8" i="6"/>
  <c r="F15" i="12" s="1"/>
  <c r="C11" i="6"/>
  <c r="F18" i="12" s="1"/>
  <c r="C7" i="6"/>
  <c r="G9" i="14" s="1"/>
  <c r="J11" i="6"/>
  <c r="M18" i="12" s="1"/>
  <c r="C14" i="6"/>
  <c r="F21" i="12" s="1"/>
  <c r="C23" i="6"/>
  <c r="J9" i="6"/>
  <c r="J18" i="9" s="1"/>
  <c r="C12" i="6"/>
  <c r="F19" i="12" s="1"/>
  <c r="G5" i="9"/>
  <c r="J3" i="12"/>
  <c r="F5" i="1"/>
  <c r="Z17" i="14" s="1"/>
  <c r="G61" i="10"/>
  <c r="G5" i="10" s="1"/>
  <c r="F289" i="8"/>
  <c r="K2" i="14"/>
  <c r="C76" i="7"/>
  <c r="D10" i="1"/>
  <c r="E10" i="1" s="1"/>
  <c r="C78" i="7"/>
  <c r="D78" i="7"/>
  <c r="E67" i="3"/>
  <c r="E64" i="3"/>
  <c r="E4" i="9"/>
  <c r="J3" i="1"/>
  <c r="H2" i="12"/>
  <c r="C79" i="7"/>
  <c r="C77" i="7"/>
  <c r="E59" i="3"/>
  <c r="O17" i="12"/>
  <c r="O15" i="12"/>
  <c r="G18" i="12"/>
  <c r="H13" i="14"/>
  <c r="H17" i="12"/>
  <c r="I12" i="14"/>
  <c r="E18" i="9"/>
  <c r="I11" i="14"/>
  <c r="G16" i="12"/>
  <c r="H11" i="14"/>
  <c r="E20" i="9"/>
  <c r="I13" i="14"/>
  <c r="F40" i="10"/>
  <c r="N4" i="10"/>
  <c r="P4" i="10" s="1"/>
  <c r="F4" i="10" s="1"/>
  <c r="F89" i="10"/>
  <c r="H65" i="10"/>
  <c r="E65" i="10" s="1"/>
  <c r="E89" i="10" s="1"/>
  <c r="E4" i="10" s="1"/>
  <c r="N5" i="10"/>
  <c r="E40" i="10"/>
  <c r="G89" i="10"/>
  <c r="G4" i="10" s="1"/>
  <c r="K18" i="12"/>
  <c r="D29" i="9"/>
  <c r="H27" i="12"/>
  <c r="D21" i="9"/>
  <c r="J9" i="18" s="1"/>
  <c r="O27" i="12"/>
  <c r="E21" i="9"/>
  <c r="O19" i="12"/>
  <c r="O18" i="12"/>
  <c r="D18" i="6"/>
  <c r="D27" i="9" s="1"/>
  <c r="D20" i="9"/>
  <c r="J8" i="18" s="1"/>
  <c r="L18" i="6"/>
  <c r="O25" i="12" s="1"/>
  <c r="A25" i="12"/>
  <c r="B27" i="9"/>
  <c r="Y18" i="6"/>
  <c r="E18" i="6" s="1"/>
  <c r="H25" i="12" s="1"/>
  <c r="L52" i="10"/>
  <c r="M52" i="10"/>
  <c r="AY24" i="5"/>
  <c r="AY25" i="5" s="1"/>
  <c r="AZ23" i="5"/>
  <c r="AU20" i="5"/>
  <c r="AT21" i="5"/>
  <c r="AT22" i="5" s="1"/>
  <c r="F418" i="8"/>
  <c r="E418" i="8"/>
  <c r="E46" i="8"/>
  <c r="F46" i="8"/>
  <c r="F232" i="8"/>
  <c r="E232" i="8"/>
  <c r="E135" i="8"/>
  <c r="F135" i="8"/>
  <c r="F511" i="8"/>
  <c r="E511" i="8"/>
  <c r="AY27" i="5"/>
  <c r="AY28" i="5" s="1"/>
  <c r="AY29" i="5" s="1"/>
  <c r="AZ26" i="5"/>
  <c r="K20" i="9"/>
  <c r="H18" i="12"/>
  <c r="K26" i="9"/>
  <c r="L26" i="9"/>
  <c r="D26" i="9"/>
  <c r="J14" i="18" s="1"/>
  <c r="E26" i="9"/>
  <c r="N16" i="12"/>
  <c r="H16" i="12"/>
  <c r="D18" i="9"/>
  <c r="J6" i="18" s="1"/>
  <c r="L18" i="9"/>
  <c r="E19" i="9"/>
  <c r="AF9" i="5"/>
  <c r="AF10" i="5" s="1"/>
  <c r="AG8" i="5"/>
  <c r="E69" i="8"/>
  <c r="H35" i="14" s="1"/>
  <c r="F69" i="8"/>
  <c r="I35" i="14" s="1"/>
  <c r="I10" i="9"/>
  <c r="AG5" i="12"/>
  <c r="AM11" i="5"/>
  <c r="AL12" i="5"/>
  <c r="AL13" i="5" s="1"/>
  <c r="AL14" i="5" s="1"/>
  <c r="F12" i="9"/>
  <c r="AG7" i="12"/>
  <c r="F14" i="8"/>
  <c r="E14" i="8"/>
  <c r="Z5" i="5"/>
  <c r="Y6" i="5"/>
  <c r="Y7" i="5" s="1"/>
  <c r="E203" i="8"/>
  <c r="F203" i="8"/>
  <c r="E206" i="8"/>
  <c r="F206" i="8"/>
  <c r="G17" i="12"/>
  <c r="D19" i="9"/>
  <c r="J7" i="18" s="1"/>
  <c r="F35" i="8"/>
  <c r="E35" i="8"/>
  <c r="C22" i="6"/>
  <c r="D22" i="6"/>
  <c r="L22" i="6"/>
  <c r="AG6" i="12"/>
  <c r="F11" i="9"/>
  <c r="T13" i="6"/>
  <c r="B13" i="6" s="1"/>
  <c r="P11" i="3"/>
  <c r="N10" i="13"/>
  <c r="M9" i="13"/>
  <c r="AO15" i="5"/>
  <c r="AN16" i="5"/>
  <c r="AN17" i="5" s="1"/>
  <c r="AN18" i="5" s="1"/>
  <c r="AN19" i="5" s="1"/>
  <c r="Y22" i="6"/>
  <c r="E22" i="6" s="1"/>
  <c r="O14" i="12"/>
  <c r="L16" i="9"/>
  <c r="H14" i="12"/>
  <c r="E16" i="9"/>
  <c r="F59" i="12"/>
  <c r="F44" i="12"/>
  <c r="F30" i="12"/>
  <c r="F62" i="12"/>
  <c r="C45" i="9"/>
  <c r="C64" i="9"/>
  <c r="C62" i="9"/>
  <c r="C65" i="9"/>
  <c r="F42" i="12"/>
  <c r="F43" i="12"/>
  <c r="F45" i="12"/>
  <c r="C46" i="9"/>
  <c r="G61" i="12"/>
  <c r="E63" i="9"/>
  <c r="F63" i="12"/>
  <c r="H61" i="12"/>
  <c r="C47" i="9"/>
  <c r="F60" i="12"/>
  <c r="H48" i="9"/>
  <c r="C44" i="9"/>
  <c r="D63" i="9"/>
  <c r="C61" i="9"/>
  <c r="C32" i="9"/>
  <c r="G6" i="10" l="1"/>
  <c r="G7" i="10" s="1"/>
  <c r="L18" i="18"/>
  <c r="I18" i="18"/>
  <c r="B17" i="18"/>
  <c r="B18" i="18"/>
  <c r="I17" i="18"/>
  <c r="L17" i="18"/>
  <c r="I13" i="18"/>
  <c r="L13" i="18"/>
  <c r="I11" i="18"/>
  <c r="L11" i="18"/>
  <c r="I14" i="18"/>
  <c r="L14" i="18"/>
  <c r="I6" i="18"/>
  <c r="L6" i="18"/>
  <c r="L7" i="18"/>
  <c r="I7" i="18"/>
  <c r="L5" i="18"/>
  <c r="I5" i="18"/>
  <c r="L4" i="18"/>
  <c r="I4" i="18"/>
  <c r="L16" i="18"/>
  <c r="I16" i="18"/>
  <c r="L9" i="18"/>
  <c r="I9" i="18"/>
  <c r="L8" i="18"/>
  <c r="I8" i="18"/>
  <c r="AJ4" i="12"/>
  <c r="P3" i="9"/>
  <c r="I25" i="18" s="1"/>
  <c r="P5" i="10"/>
  <c r="F5" i="10" s="1"/>
  <c r="H7" i="9"/>
  <c r="G7" i="1"/>
  <c r="AA19" i="14" s="1"/>
  <c r="K5" i="12"/>
  <c r="J7" i="9"/>
  <c r="H15" i="12"/>
  <c r="D15" i="6"/>
  <c r="D24" i="9" s="1"/>
  <c r="J12" i="18" s="1"/>
  <c r="C15" i="6"/>
  <c r="F22" i="12" s="1"/>
  <c r="L15" i="6"/>
  <c r="L24" i="9" s="1"/>
  <c r="Y15" i="6"/>
  <c r="E15" i="6" s="1"/>
  <c r="H22" i="12" s="1"/>
  <c r="A22" i="12"/>
  <c r="G15" i="12"/>
  <c r="L25" i="9"/>
  <c r="D25" i="9"/>
  <c r="J13" i="18" s="1"/>
  <c r="N23" i="12"/>
  <c r="H23" i="12"/>
  <c r="I10" i="14"/>
  <c r="G26" i="12"/>
  <c r="G6" i="12"/>
  <c r="C29" i="9"/>
  <c r="D163" i="8"/>
  <c r="F163" i="8" s="1"/>
  <c r="Y16" i="14"/>
  <c r="C8" i="1"/>
  <c r="W20" i="14" s="1"/>
  <c r="D8" i="9"/>
  <c r="I7" i="1"/>
  <c r="AB18" i="14"/>
  <c r="E28" i="9"/>
  <c r="G21" i="12"/>
  <c r="H21" i="12"/>
  <c r="G26" i="6"/>
  <c r="C26" i="6"/>
  <c r="L26" i="6"/>
  <c r="H26" i="6"/>
  <c r="D26" i="6"/>
  <c r="M71" i="8"/>
  <c r="D71" i="8" s="1"/>
  <c r="G37" i="14" s="1"/>
  <c r="D242" i="8"/>
  <c r="F242" i="8" s="1"/>
  <c r="D424" i="8"/>
  <c r="E424" i="8" s="1"/>
  <c r="M472" i="8"/>
  <c r="D472" i="8" s="1"/>
  <c r="E472" i="8" s="1"/>
  <c r="D219" i="8"/>
  <c r="F219" i="8" s="1"/>
  <c r="D546" i="8"/>
  <c r="F546" i="8" s="1"/>
  <c r="M513" i="8"/>
  <c r="D513" i="8" s="1"/>
  <c r="F513" i="8" s="1"/>
  <c r="D104" i="8"/>
  <c r="M64" i="14" s="1"/>
  <c r="D353" i="8"/>
  <c r="F353" i="8" s="1"/>
  <c r="D240" i="8"/>
  <c r="F240" i="8" s="1"/>
  <c r="D24" i="8"/>
  <c r="E24" i="8" s="1"/>
  <c r="D39" i="8"/>
  <c r="F39" i="8" s="1"/>
  <c r="M493" i="8"/>
  <c r="D493" i="8" s="1"/>
  <c r="E493" i="8" s="1"/>
  <c r="D302" i="8"/>
  <c r="F302" i="8" s="1"/>
  <c r="D571" i="8"/>
  <c r="F571" i="8" s="1"/>
  <c r="D490" i="8"/>
  <c r="F490" i="8" s="1"/>
  <c r="M168" i="8"/>
  <c r="D168" i="8" s="1"/>
  <c r="E168" i="8" s="1"/>
  <c r="D419" i="8"/>
  <c r="F419" i="8" s="1"/>
  <c r="D159" i="8"/>
  <c r="F159" i="8" s="1"/>
  <c r="D6" i="8"/>
  <c r="E6" i="8" s="1"/>
  <c r="D476" i="8"/>
  <c r="F476" i="8" s="1"/>
  <c r="M393" i="8"/>
  <c r="D393" i="8" s="1"/>
  <c r="F393" i="8" s="1"/>
  <c r="D566" i="8"/>
  <c r="E566" i="8" s="1"/>
  <c r="D336" i="8"/>
  <c r="E336" i="8" s="1"/>
  <c r="D101" i="8"/>
  <c r="D63" i="14" s="1"/>
  <c r="D214" i="8"/>
  <c r="F214" i="8" s="1"/>
  <c r="D352" i="8"/>
  <c r="F352" i="8" s="1"/>
  <c r="D44" i="8"/>
  <c r="E44" i="8" s="1"/>
  <c r="D55" i="8"/>
  <c r="F55" i="8" s="1"/>
  <c r="D216" i="8"/>
  <c r="F216" i="8" s="1"/>
  <c r="D487" i="8"/>
  <c r="E487" i="8" s="1"/>
  <c r="D359" i="8"/>
  <c r="E359" i="8" s="1"/>
  <c r="D276" i="8"/>
  <c r="F276" i="8" s="1"/>
  <c r="D466" i="8"/>
  <c r="F466" i="8" s="1"/>
  <c r="D381" i="8"/>
  <c r="F381" i="8" s="1"/>
  <c r="D172" i="8"/>
  <c r="E172" i="8" s="1"/>
  <c r="D132" i="8"/>
  <c r="E132" i="8" s="1"/>
  <c r="M81" i="8"/>
  <c r="D81" i="8" s="1"/>
  <c r="G47" i="14" s="1"/>
  <c r="M24" i="12"/>
  <c r="D238" i="8"/>
  <c r="F238" i="8" s="1"/>
  <c r="D486" i="8"/>
  <c r="F486" i="8" s="1"/>
  <c r="D347" i="8"/>
  <c r="E347" i="8" s="1"/>
  <c r="D450" i="8"/>
  <c r="E450" i="8" s="1"/>
  <c r="D579" i="8"/>
  <c r="F579" i="8" s="1"/>
  <c r="D408" i="8"/>
  <c r="F408" i="8" s="1"/>
  <c r="D263" i="8"/>
  <c r="E263" i="8" s="1"/>
  <c r="D555" i="8"/>
  <c r="F555" i="8" s="1"/>
  <c r="D314" i="8"/>
  <c r="E314" i="8" s="1"/>
  <c r="D110" i="8"/>
  <c r="M67" i="14" s="1"/>
  <c r="D247" i="8"/>
  <c r="E247" i="8" s="1"/>
  <c r="D72" i="8"/>
  <c r="G38" i="14" s="1"/>
  <c r="M290" i="8"/>
  <c r="D290" i="8" s="1"/>
  <c r="F290" i="8" s="1"/>
  <c r="D26" i="8"/>
  <c r="E26" i="8" s="1"/>
  <c r="D248" i="8"/>
  <c r="E248" i="8" s="1"/>
  <c r="D320" i="8"/>
  <c r="F320" i="8" s="1"/>
  <c r="D574" i="8"/>
  <c r="E574" i="8" s="1"/>
  <c r="D170" i="8"/>
  <c r="F170" i="8" s="1"/>
  <c r="D478" i="8"/>
  <c r="E478" i="8" s="1"/>
  <c r="D133" i="8"/>
  <c r="E133" i="8" s="1"/>
  <c r="D528" i="8"/>
  <c r="E528" i="8" s="1"/>
  <c r="D235" i="8"/>
  <c r="E235" i="8" s="1"/>
  <c r="D434" i="8"/>
  <c r="F434" i="8" s="1"/>
  <c r="D51" i="8"/>
  <c r="F51" i="8" s="1"/>
  <c r="M435" i="8"/>
  <c r="D435" i="8" s="1"/>
  <c r="E435" i="8" s="1"/>
  <c r="M452" i="8"/>
  <c r="D452" i="8" s="1"/>
  <c r="F452" i="8" s="1"/>
  <c r="D517" i="8"/>
  <c r="F517" i="8" s="1"/>
  <c r="D20" i="8"/>
  <c r="F20" i="8" s="1"/>
  <c r="D283" i="8"/>
  <c r="E283" i="8" s="1"/>
  <c r="D22" i="8"/>
  <c r="F22" i="8" s="1"/>
  <c r="D438" i="8"/>
  <c r="E438" i="8" s="1"/>
  <c r="M268" i="8"/>
  <c r="D268" i="8" s="1"/>
  <c r="F268" i="8" s="1"/>
  <c r="D328" i="8"/>
  <c r="F328" i="8" s="1"/>
  <c r="M346" i="8"/>
  <c r="D346" i="8" s="1"/>
  <c r="F346" i="8" s="1"/>
  <c r="M498" i="8"/>
  <c r="D498" i="8" s="1"/>
  <c r="E498" i="8" s="1"/>
  <c r="D573" i="8"/>
  <c r="E573" i="8" s="1"/>
  <c r="D92" i="8"/>
  <c r="M58" i="14" s="1"/>
  <c r="M413" i="8"/>
  <c r="D413" i="8" s="1"/>
  <c r="E413" i="8" s="1"/>
  <c r="D430" i="8"/>
  <c r="E430" i="8" s="1"/>
  <c r="D120" i="8"/>
  <c r="M72" i="14" s="1"/>
  <c r="D446" i="8"/>
  <c r="F446" i="8" s="1"/>
  <c r="D363" i="8"/>
  <c r="E363" i="8" s="1"/>
  <c r="D543" i="8"/>
  <c r="F543" i="8" s="1"/>
  <c r="D317" i="8"/>
  <c r="F317" i="8" s="1"/>
  <c r="D386" i="8"/>
  <c r="F386" i="8" s="1"/>
  <c r="D30" i="8"/>
  <c r="E30" i="8" s="1"/>
  <c r="D420" i="8"/>
  <c r="F420" i="8" s="1"/>
  <c r="D351" i="8"/>
  <c r="E351" i="8" s="1"/>
  <c r="D425" i="8"/>
  <c r="F425" i="8" s="1"/>
  <c r="D327" i="8"/>
  <c r="E327" i="8" s="1"/>
  <c r="D303" i="8"/>
  <c r="F303" i="8" s="1"/>
  <c r="D102" i="8"/>
  <c r="M63" i="14" s="1"/>
  <c r="M207" i="8"/>
  <c r="D207" i="8" s="1"/>
  <c r="E207" i="8" s="1"/>
  <c r="D117" i="8"/>
  <c r="D71" i="14" s="1"/>
  <c r="D503" i="8"/>
  <c r="E503" i="8" s="1"/>
  <c r="D519" i="8"/>
  <c r="F519" i="8" s="1"/>
  <c r="D421" i="8"/>
  <c r="E421" i="8" s="1"/>
  <c r="D99" i="8"/>
  <c r="D62" i="14" s="1"/>
  <c r="D142" i="8"/>
  <c r="F142" i="8" s="1"/>
  <c r="D80" i="8"/>
  <c r="G46" i="14" s="1"/>
  <c r="D100" i="8"/>
  <c r="M62" i="14" s="1"/>
  <c r="D218" i="8"/>
  <c r="E218" i="8" s="1"/>
  <c r="D256" i="8"/>
  <c r="E256" i="8" s="1"/>
  <c r="D340" i="8"/>
  <c r="E340" i="8" s="1"/>
  <c r="M560" i="8"/>
  <c r="D560" i="8" s="1"/>
  <c r="F560" i="8" s="1"/>
  <c r="D215" i="8"/>
  <c r="E215" i="8" s="1"/>
  <c r="M416" i="8"/>
  <c r="D103" i="8"/>
  <c r="D64" i="14" s="1"/>
  <c r="D74" i="8"/>
  <c r="G40" i="14" s="1"/>
  <c r="D514" i="8"/>
  <c r="E514" i="8" s="1"/>
  <c r="D5" i="8"/>
  <c r="F5" i="8" s="1"/>
  <c r="D440" i="8"/>
  <c r="E440" i="8" s="1"/>
  <c r="D296" i="8"/>
  <c r="E296" i="8" s="1"/>
  <c r="D578" i="8"/>
  <c r="F578" i="8" s="1"/>
  <c r="D40" i="8"/>
  <c r="E40" i="8" s="1"/>
  <c r="D337" i="8"/>
  <c r="F337" i="8" s="1"/>
  <c r="D355" i="8"/>
  <c r="F355" i="8" s="1"/>
  <c r="D179" i="8"/>
  <c r="E179" i="8" s="1"/>
  <c r="I589" i="8"/>
  <c r="N77" i="14" s="1"/>
  <c r="M321" i="8"/>
  <c r="D321" i="8" s="1"/>
  <c r="E321" i="8" s="1"/>
  <c r="D516" i="8"/>
  <c r="E516" i="8" s="1"/>
  <c r="D552" i="8"/>
  <c r="F552" i="8" s="1"/>
  <c r="I85" i="8"/>
  <c r="N51" i="14" s="1"/>
  <c r="D201" i="8"/>
  <c r="F201" i="8" s="1"/>
  <c r="D158" i="8"/>
  <c r="F158" i="8" s="1"/>
  <c r="D114" i="8"/>
  <c r="M69" i="14" s="1"/>
  <c r="D297" i="8"/>
  <c r="E297" i="8" s="1"/>
  <c r="D551" i="8"/>
  <c r="E551" i="8" s="1"/>
  <c r="D139" i="8"/>
  <c r="F139" i="8" s="1"/>
  <c r="D236" i="8"/>
  <c r="E236" i="8" s="1"/>
  <c r="D565" i="8"/>
  <c r="E565" i="8" s="1"/>
  <c r="D111" i="8"/>
  <c r="D68" i="14" s="1"/>
  <c r="D445" i="8"/>
  <c r="E445" i="8" s="1"/>
  <c r="D93" i="8"/>
  <c r="D59" i="14" s="1"/>
  <c r="D335" i="8"/>
  <c r="E335" i="8" s="1"/>
  <c r="D501" i="8"/>
  <c r="F501" i="8" s="1"/>
  <c r="D422" i="8"/>
  <c r="F422" i="8" s="1"/>
  <c r="D441" i="8"/>
  <c r="F441" i="8" s="1"/>
  <c r="D360" i="8"/>
  <c r="E360" i="8" s="1"/>
  <c r="D182" i="8"/>
  <c r="E182" i="8" s="1"/>
  <c r="D90" i="8"/>
  <c r="M57" i="14" s="1"/>
  <c r="D128" i="8"/>
  <c r="F128" i="8" s="1"/>
  <c r="D396" i="8"/>
  <c r="E396" i="8" s="1"/>
  <c r="M18" i="8"/>
  <c r="D18" i="8" s="1"/>
  <c r="F18" i="8" s="1"/>
  <c r="D562" i="8"/>
  <c r="E562" i="8" s="1"/>
  <c r="D243" i="8"/>
  <c r="F243" i="8" s="1"/>
  <c r="D9" i="8"/>
  <c r="E9" i="8" s="1"/>
  <c r="D174" i="8"/>
  <c r="F174" i="8" s="1"/>
  <c r="D165" i="8"/>
  <c r="E165" i="8" s="1"/>
  <c r="D563" i="8"/>
  <c r="F563" i="8" s="1"/>
  <c r="D460" i="8"/>
  <c r="F460" i="8" s="1"/>
  <c r="M288" i="8"/>
  <c r="D288" i="8" s="1"/>
  <c r="E288" i="8" s="1"/>
  <c r="D202" i="8"/>
  <c r="E202" i="8" s="1"/>
  <c r="D294" i="8"/>
  <c r="F294" i="8" s="1"/>
  <c r="D350" i="8"/>
  <c r="F350" i="8" s="1"/>
  <c r="D362" i="8"/>
  <c r="E362" i="8" s="1"/>
  <c r="D471" i="8"/>
  <c r="E471" i="8" s="1"/>
  <c r="D73" i="8"/>
  <c r="G39" i="14" s="1"/>
  <c r="D153" i="8"/>
  <c r="E153" i="8" s="1"/>
  <c r="I2" i="12"/>
  <c r="D130" i="8"/>
  <c r="E130" i="8" s="1"/>
  <c r="D506" i="8"/>
  <c r="E506" i="8" s="1"/>
  <c r="M48" i="8"/>
  <c r="D48" i="8" s="1"/>
  <c r="F48" i="8" s="1"/>
  <c r="D308" i="8"/>
  <c r="F308" i="8" s="1"/>
  <c r="D330" i="8"/>
  <c r="E330" i="8" s="1"/>
  <c r="D196" i="8"/>
  <c r="E196" i="8" s="1"/>
  <c r="D575" i="8"/>
  <c r="E575" i="8" s="1"/>
  <c r="D252" i="8"/>
  <c r="E252" i="8" s="1"/>
  <c r="D98" i="8"/>
  <c r="M61" i="14" s="1"/>
  <c r="M82" i="8"/>
  <c r="D82" i="8" s="1"/>
  <c r="I82" i="8" s="1"/>
  <c r="N48" i="14" s="1"/>
  <c r="D323" i="8"/>
  <c r="F323" i="8" s="1"/>
  <c r="D372" i="8"/>
  <c r="F372" i="8" s="1"/>
  <c r="D522" i="8"/>
  <c r="F522" i="8" s="1"/>
  <c r="D234" i="8"/>
  <c r="E234" i="8" s="1"/>
  <c r="M185" i="8"/>
  <c r="D185" i="8" s="1"/>
  <c r="F185" i="8" s="1"/>
  <c r="D356" i="8"/>
  <c r="F356" i="8" s="1"/>
  <c r="D427" i="8"/>
  <c r="F427" i="8" s="1"/>
  <c r="D567" i="8"/>
  <c r="F567" i="8" s="1"/>
  <c r="D488" i="8"/>
  <c r="F488" i="8" s="1"/>
  <c r="J14" i="12"/>
  <c r="I179" i="12"/>
  <c r="B6" i="1"/>
  <c r="V18" i="14" s="1"/>
  <c r="C6" i="9"/>
  <c r="F4" i="12"/>
  <c r="M2" i="14"/>
  <c r="D4" i="8"/>
  <c r="D423" i="8"/>
  <c r="F423" i="8" s="1"/>
  <c r="D112" i="8"/>
  <c r="M68" i="14" s="1"/>
  <c r="D383" i="8"/>
  <c r="E383" i="8" s="1"/>
  <c r="D329" i="8"/>
  <c r="E329" i="8" s="1"/>
  <c r="D96" i="8"/>
  <c r="M60" i="14" s="1"/>
  <c r="D118" i="8"/>
  <c r="M71" i="14" s="1"/>
  <c r="D397" i="8"/>
  <c r="E397" i="8" s="1"/>
  <c r="D94" i="8"/>
  <c r="M59" i="14" s="1"/>
  <c r="D316" i="8"/>
  <c r="E316" i="8" s="1"/>
  <c r="D369" i="8"/>
  <c r="F369" i="8" s="1"/>
  <c r="D154" i="8"/>
  <c r="E154" i="8" s="1"/>
  <c r="D258" i="8"/>
  <c r="F258" i="8" s="1"/>
  <c r="D334" i="8"/>
  <c r="E334" i="8" s="1"/>
  <c r="D277" i="8"/>
  <c r="E277" i="8" s="1"/>
  <c r="M64" i="8"/>
  <c r="D64" i="8" s="1"/>
  <c r="E64" i="8" s="1"/>
  <c r="D447" i="8"/>
  <c r="E447" i="8" s="1"/>
  <c r="D191" i="8"/>
  <c r="F191" i="8" s="1"/>
  <c r="D27" i="8"/>
  <c r="F27" i="8" s="1"/>
  <c r="D246" i="8"/>
  <c r="F246" i="8" s="1"/>
  <c r="D279" i="8"/>
  <c r="E279" i="8" s="1"/>
  <c r="D23" i="8"/>
  <c r="F23" i="8" s="1"/>
  <c r="D28" i="8"/>
  <c r="E28" i="8" s="1"/>
  <c r="D568" i="8"/>
  <c r="E568" i="8" s="1"/>
  <c r="D193" i="8"/>
  <c r="F193" i="8" s="1"/>
  <c r="D469" i="8"/>
  <c r="F469" i="8" s="1"/>
  <c r="D367" i="8"/>
  <c r="F367" i="8" s="1"/>
  <c r="D29" i="8"/>
  <c r="F29" i="8" s="1"/>
  <c r="D54" i="8"/>
  <c r="E54" i="8" s="1"/>
  <c r="D325" i="8"/>
  <c r="F325" i="8" s="1"/>
  <c r="D508" i="8"/>
  <c r="E508" i="8" s="1"/>
  <c r="D109" i="8"/>
  <c r="D67" i="14" s="1"/>
  <c r="D285" i="8"/>
  <c r="F285" i="8" s="1"/>
  <c r="D173" i="8"/>
  <c r="E173" i="8" s="1"/>
  <c r="D407" i="8"/>
  <c r="F407" i="8" s="1"/>
  <c r="D444" i="8"/>
  <c r="E444" i="8" s="1"/>
  <c r="D354" i="8"/>
  <c r="E354" i="8" s="1"/>
  <c r="D463" i="8"/>
  <c r="F463" i="8" s="1"/>
  <c r="D257" i="8"/>
  <c r="F257" i="8" s="1"/>
  <c r="M536" i="8"/>
  <c r="D536" i="8" s="1"/>
  <c r="F536" i="8" s="1"/>
  <c r="D572" i="8"/>
  <c r="F572" i="8" s="1"/>
  <c r="D448" i="8"/>
  <c r="F448" i="8" s="1"/>
  <c r="D429" i="8"/>
  <c r="E429" i="8" s="1"/>
  <c r="D527" i="8"/>
  <c r="E527" i="8" s="1"/>
  <c r="D310" i="8"/>
  <c r="F310" i="8" s="1"/>
  <c r="D389" i="8"/>
  <c r="F389" i="8" s="1"/>
  <c r="D485" i="8"/>
  <c r="E485" i="8" s="1"/>
  <c r="D401" i="8"/>
  <c r="E401" i="8" s="1"/>
  <c r="D89" i="8"/>
  <c r="D57" i="14" s="1"/>
  <c r="M591" i="8"/>
  <c r="D591" i="8" s="1"/>
  <c r="G79" i="14" s="1"/>
  <c r="M474" i="8"/>
  <c r="D474" i="8" s="1"/>
  <c r="E474" i="8" s="1"/>
  <c r="D43" i="8"/>
  <c r="E43" i="8" s="1"/>
  <c r="F4" i="9"/>
  <c r="D470" i="8"/>
  <c r="F470" i="8" s="1"/>
  <c r="D338" i="8"/>
  <c r="E338" i="8" s="1"/>
  <c r="D53" i="8"/>
  <c r="E53" i="8" s="1"/>
  <c r="D91" i="8"/>
  <c r="D58" i="14" s="1"/>
  <c r="D52" i="8"/>
  <c r="E52" i="8" s="1"/>
  <c r="D50" i="8"/>
  <c r="E50" i="8" s="1"/>
  <c r="D549" i="8"/>
  <c r="F549" i="8" s="1"/>
  <c r="D554" i="8"/>
  <c r="E554" i="8" s="1"/>
  <c r="D281" i="8"/>
  <c r="F281" i="8" s="1"/>
  <c r="D432" i="8"/>
  <c r="F432" i="8" s="1"/>
  <c r="D553" i="8"/>
  <c r="E553" i="8" s="1"/>
  <c r="D384" i="8"/>
  <c r="F384" i="8" s="1"/>
  <c r="D134" i="8"/>
  <c r="F134" i="8" s="1"/>
  <c r="D140" i="8"/>
  <c r="F140" i="8" s="1"/>
  <c r="D261" i="8"/>
  <c r="E261" i="8" s="1"/>
  <c r="D382" i="8"/>
  <c r="E382" i="8" s="1"/>
  <c r="M411" i="8"/>
  <c r="D411" i="8" s="1"/>
  <c r="E411" i="8" s="1"/>
  <c r="D113" i="8"/>
  <c r="D69" i="14" s="1"/>
  <c r="D467" i="8"/>
  <c r="F467" i="8" s="1"/>
  <c r="D366" i="8"/>
  <c r="E366" i="8" s="1"/>
  <c r="D107" i="8"/>
  <c r="D66" i="14" s="1"/>
  <c r="D199" i="8"/>
  <c r="E199" i="8" s="1"/>
  <c r="D526" i="8"/>
  <c r="F526" i="8" s="1"/>
  <c r="D525" i="8"/>
  <c r="F525" i="8" s="1"/>
  <c r="D129" i="8"/>
  <c r="E129" i="8" s="1"/>
  <c r="D481" i="8"/>
  <c r="E481" i="8" s="1"/>
  <c r="D25" i="8"/>
  <c r="E25" i="8" s="1"/>
  <c r="M186" i="8"/>
  <c r="D186" i="8" s="1"/>
  <c r="F186" i="8" s="1"/>
  <c r="D524" i="8"/>
  <c r="F524" i="8" s="1"/>
  <c r="D368" i="8"/>
  <c r="E368" i="8" s="1"/>
  <c r="D264" i="8"/>
  <c r="F264" i="8" s="1"/>
  <c r="D241" i="8"/>
  <c r="F241" i="8" s="1"/>
  <c r="D197" i="8"/>
  <c r="E197" i="8" s="1"/>
  <c r="D19" i="8"/>
  <c r="E19" i="8" s="1"/>
  <c r="M495" i="8"/>
  <c r="D495" i="8" s="1"/>
  <c r="E495" i="8" s="1"/>
  <c r="M391" i="8"/>
  <c r="D391" i="8" s="1"/>
  <c r="E391" i="8" s="1"/>
  <c r="D169" i="8"/>
  <c r="F169" i="8" s="1"/>
  <c r="D105" i="8"/>
  <c r="D65" i="14" s="1"/>
  <c r="D461" i="8"/>
  <c r="F461" i="8" s="1"/>
  <c r="D106" i="8"/>
  <c r="M65" i="14" s="1"/>
  <c r="D301" i="8"/>
  <c r="F301" i="8" s="1"/>
  <c r="M222" i="8"/>
  <c r="D222" i="8" s="1"/>
  <c r="E222" i="8" s="1"/>
  <c r="D324" i="8"/>
  <c r="F324" i="8" s="1"/>
  <c r="D462" i="8"/>
  <c r="F462" i="8" s="1"/>
  <c r="D557" i="8"/>
  <c r="F557" i="8" s="1"/>
  <c r="M266" i="8"/>
  <c r="D266" i="8" s="1"/>
  <c r="E266" i="8" s="1"/>
  <c r="D515" i="8"/>
  <c r="E515" i="8" s="1"/>
  <c r="D518" i="8"/>
  <c r="F518" i="8" s="1"/>
  <c r="D331" i="8"/>
  <c r="E331" i="8" s="1"/>
  <c r="D126" i="8"/>
  <c r="F126" i="8" s="1"/>
  <c r="D76" i="8"/>
  <c r="G42" i="14" s="1"/>
  <c r="D200" i="8"/>
  <c r="F200" i="8" s="1"/>
  <c r="D275" i="8"/>
  <c r="F275" i="8" s="1"/>
  <c r="D21" i="8"/>
  <c r="F21" i="8" s="1"/>
  <c r="D570" i="8"/>
  <c r="F570" i="8" s="1"/>
  <c r="D545" i="8"/>
  <c r="F545" i="8" s="1"/>
  <c r="D171" i="8"/>
  <c r="E171" i="8" s="1"/>
  <c r="D333" i="8"/>
  <c r="E333" i="8" s="1"/>
  <c r="D164" i="8"/>
  <c r="E164" i="8" s="1"/>
  <c r="M136" i="8"/>
  <c r="D136" i="8" s="1"/>
  <c r="F136" i="8" s="1"/>
  <c r="D36" i="8"/>
  <c r="E36" i="8" s="1"/>
  <c r="D400" i="8"/>
  <c r="F400" i="8" s="1"/>
  <c r="D577" i="8"/>
  <c r="E577" i="8" s="1"/>
  <c r="D60" i="8"/>
  <c r="F60" i="8" s="1"/>
  <c r="D176" i="8"/>
  <c r="E176" i="8" s="1"/>
  <c r="D7" i="8"/>
  <c r="F7" i="8" s="1"/>
  <c r="D156" i="8"/>
  <c r="E156" i="8" s="1"/>
  <c r="D312" i="8"/>
  <c r="F312" i="8" s="1"/>
  <c r="M376" i="8"/>
  <c r="D376" i="8" s="1"/>
  <c r="F376" i="8" s="1"/>
  <c r="M531" i="8"/>
  <c r="D531" i="8" s="1"/>
  <c r="E531" i="8" s="1"/>
  <c r="D127" i="8"/>
  <c r="F127" i="8" s="1"/>
  <c r="D402" i="8"/>
  <c r="F402" i="8" s="1"/>
  <c r="D37" i="8"/>
  <c r="F37" i="8" s="1"/>
  <c r="D208" i="8"/>
  <c r="E208" i="8" s="1"/>
  <c r="D212" i="8"/>
  <c r="F212" i="8" s="1"/>
  <c r="D11" i="8"/>
  <c r="F11" i="8" s="1"/>
  <c r="D459" i="8"/>
  <c r="E459" i="8" s="1"/>
  <c r="M223" i="8"/>
  <c r="D223" i="8" s="1"/>
  <c r="F223" i="8" s="1"/>
  <c r="D293" i="8"/>
  <c r="E293" i="8" s="1"/>
  <c r="D431" i="8"/>
  <c r="F431" i="8" s="1"/>
  <c r="D439" i="8"/>
  <c r="F439" i="8" s="1"/>
  <c r="D145" i="8"/>
  <c r="E145" i="8" s="1"/>
  <c r="D332" i="8"/>
  <c r="E332" i="8" s="1"/>
  <c r="D49" i="8"/>
  <c r="E49" i="8" s="1"/>
  <c r="D339" i="8"/>
  <c r="E339" i="8" s="1"/>
  <c r="D295" i="8"/>
  <c r="F295" i="8" s="1"/>
  <c r="D160" i="8"/>
  <c r="F160" i="8" s="1"/>
  <c r="D385" i="8"/>
  <c r="F385" i="8" s="1"/>
  <c r="D291" i="8"/>
  <c r="F291" i="8" s="1"/>
  <c r="M65" i="8"/>
  <c r="D65" i="8" s="1"/>
  <c r="F65" i="8" s="1"/>
  <c r="M267" i="8"/>
  <c r="D267" i="8" s="1"/>
  <c r="E267" i="8" s="1"/>
  <c r="D254" i="8"/>
  <c r="F254" i="8" s="1"/>
  <c r="D468" i="8"/>
  <c r="E468" i="8" s="1"/>
  <c r="D116" i="8"/>
  <c r="M70" i="14" s="1"/>
  <c r="D507" i="8"/>
  <c r="F507" i="8" s="1"/>
  <c r="M584" i="8"/>
  <c r="D584" i="8" s="1"/>
  <c r="F584" i="8" s="1"/>
  <c r="D483" i="8"/>
  <c r="F483" i="8" s="1"/>
  <c r="M358" i="8"/>
  <c r="D358" i="8" s="1"/>
  <c r="F358" i="8" s="1"/>
  <c r="D556" i="8"/>
  <c r="F556" i="8" s="1"/>
  <c r="D45" i="8"/>
  <c r="E45" i="8" s="1"/>
  <c r="D137" i="8"/>
  <c r="F137" i="8" s="1"/>
  <c r="M436" i="8"/>
  <c r="D436" i="8" s="1"/>
  <c r="F436" i="8" s="1"/>
  <c r="D484" i="8"/>
  <c r="E484" i="8" s="1"/>
  <c r="D131" i="8"/>
  <c r="E131" i="8" s="1"/>
  <c r="D489" i="8"/>
  <c r="E489" i="8" s="1"/>
  <c r="D529" i="8"/>
  <c r="F529" i="8" s="1"/>
  <c r="D500" i="8"/>
  <c r="E500" i="8" s="1"/>
  <c r="D233" i="8"/>
  <c r="E233" i="8" s="1"/>
  <c r="D77" i="8"/>
  <c r="G43" i="14" s="1"/>
  <c r="D387" i="8"/>
  <c r="E387" i="8" s="1"/>
  <c r="D260" i="8"/>
  <c r="F260" i="8" s="1"/>
  <c r="D298" i="8"/>
  <c r="F298" i="8" s="1"/>
  <c r="D239" i="8"/>
  <c r="E239" i="8" s="1"/>
  <c r="D181" i="8"/>
  <c r="F181" i="8" s="1"/>
  <c r="D521" i="8"/>
  <c r="F521" i="8" s="1"/>
  <c r="D108" i="8"/>
  <c r="M66" i="14" s="1"/>
  <c r="D280" i="8"/>
  <c r="E280" i="8" s="1"/>
  <c r="D315" i="8"/>
  <c r="F315" i="8" s="1"/>
  <c r="D58" i="8"/>
  <c r="F58" i="8" s="1"/>
  <c r="D361" i="8"/>
  <c r="F361" i="8" s="1"/>
  <c r="D464" i="8"/>
  <c r="F464" i="8" s="1"/>
  <c r="D403" i="8"/>
  <c r="F403" i="8" s="1"/>
  <c r="D194" i="8"/>
  <c r="F194" i="8" s="1"/>
  <c r="D480" i="8"/>
  <c r="F480" i="8" s="1"/>
  <c r="D399" i="8"/>
  <c r="E399" i="8" s="1"/>
  <c r="D548" i="8"/>
  <c r="E548" i="8" s="1"/>
  <c r="D97" i="8"/>
  <c r="D61" i="14" s="1"/>
  <c r="M244" i="8"/>
  <c r="D244" i="8" s="1"/>
  <c r="E244" i="8" s="1"/>
  <c r="D300" i="8"/>
  <c r="F300" i="8" s="1"/>
  <c r="D10" i="8"/>
  <c r="F10" i="8" s="1"/>
  <c r="D405" i="8"/>
  <c r="E405" i="8" s="1"/>
  <c r="D523" i="8"/>
  <c r="F523" i="8" s="1"/>
  <c r="D520" i="8"/>
  <c r="F520" i="8" s="1"/>
  <c r="M537" i="8"/>
  <c r="D537" i="8" s="1"/>
  <c r="E537" i="8" s="1"/>
  <c r="D178" i="8"/>
  <c r="E178" i="8" s="1"/>
  <c r="D404" i="8"/>
  <c r="E404" i="8" s="1"/>
  <c r="D313" i="8"/>
  <c r="E313" i="8" s="1"/>
  <c r="D286" i="8"/>
  <c r="F286" i="8" s="1"/>
  <c r="D395" i="8"/>
  <c r="F395" i="8" s="1"/>
  <c r="D144" i="8"/>
  <c r="F144" i="8" s="1"/>
  <c r="D146" i="8"/>
  <c r="E146" i="8" s="1"/>
  <c r="D364" i="8"/>
  <c r="F364" i="8" s="1"/>
  <c r="D426" i="8"/>
  <c r="E426" i="8" s="1"/>
  <c r="D505" i="8"/>
  <c r="E505" i="8" s="1"/>
  <c r="M535" i="8"/>
  <c r="D535" i="8" s="1"/>
  <c r="E535" i="8" s="1"/>
  <c r="D217" i="8"/>
  <c r="F217" i="8" s="1"/>
  <c r="M532" i="8"/>
  <c r="D532" i="8" s="1"/>
  <c r="F532" i="8" s="1"/>
  <c r="D370" i="8"/>
  <c r="F370" i="8" s="1"/>
  <c r="D119" i="8"/>
  <c r="D72" i="14" s="1"/>
  <c r="D504" i="8"/>
  <c r="E504" i="8" s="1"/>
  <c r="M245" i="8"/>
  <c r="D245" i="8" s="1"/>
  <c r="F245" i="8" s="1"/>
  <c r="D443" i="8"/>
  <c r="E443" i="8" s="1"/>
  <c r="D220" i="8"/>
  <c r="E220" i="8" s="1"/>
  <c r="D311" i="8"/>
  <c r="E311" i="8" s="1"/>
  <c r="D299" i="8"/>
  <c r="F299" i="8" s="1"/>
  <c r="D262" i="8"/>
  <c r="E262" i="8" s="1"/>
  <c r="D8" i="8"/>
  <c r="F8" i="8" s="1"/>
  <c r="D530" i="8"/>
  <c r="E530" i="8" s="1"/>
  <c r="D449" i="8"/>
  <c r="F449" i="8" s="1"/>
  <c r="D95" i="8"/>
  <c r="D60" i="14" s="1"/>
  <c r="D479" i="8"/>
  <c r="F479" i="8" s="1"/>
  <c r="D259" i="8"/>
  <c r="E259" i="8" s="1"/>
  <c r="D195" i="8"/>
  <c r="E195" i="8" s="1"/>
  <c r="D564" i="8"/>
  <c r="F564" i="8" s="1"/>
  <c r="D255" i="8"/>
  <c r="E255" i="8" s="1"/>
  <c r="D42" i="8"/>
  <c r="F42" i="8" s="1"/>
  <c r="D319" i="8"/>
  <c r="F319" i="8" s="1"/>
  <c r="D326" i="8"/>
  <c r="E326" i="8" s="1"/>
  <c r="D143" i="8"/>
  <c r="E143" i="8" s="1"/>
  <c r="D79" i="8"/>
  <c r="G45" i="14" s="1"/>
  <c r="D177" i="8"/>
  <c r="E177" i="8" s="1"/>
  <c r="D410" i="8"/>
  <c r="F410" i="8" s="1"/>
  <c r="D75" i="8"/>
  <c r="G41" i="14" s="1"/>
  <c r="D250" i="8"/>
  <c r="F250" i="8" s="1"/>
  <c r="D348" i="8"/>
  <c r="E348" i="8" s="1"/>
  <c r="D198" i="8"/>
  <c r="F198" i="8" s="1"/>
  <c r="D309" i="8"/>
  <c r="E309" i="8" s="1"/>
  <c r="D442" i="8"/>
  <c r="E442" i="8" s="1"/>
  <c r="D237" i="8"/>
  <c r="E237" i="8" s="1"/>
  <c r="D161" i="8"/>
  <c r="F161" i="8" s="1"/>
  <c r="D477" i="8"/>
  <c r="E477" i="8" s="1"/>
  <c r="D390" i="8"/>
  <c r="E390" i="8" s="1"/>
  <c r="M392" i="8"/>
  <c r="D392" i="8" s="1"/>
  <c r="E392" i="8" s="1"/>
  <c r="M184" i="8"/>
  <c r="D184" i="8" s="1"/>
  <c r="F184" i="8" s="1"/>
  <c r="D287" i="8"/>
  <c r="F287" i="8" s="1"/>
  <c r="D406" i="8"/>
  <c r="F406" i="8" s="1"/>
  <c r="M417" i="8"/>
  <c r="D417" i="8" s="1"/>
  <c r="F417" i="8" s="1"/>
  <c r="D253" i="8"/>
  <c r="E253" i="8" s="1"/>
  <c r="M473" i="8"/>
  <c r="D473" i="8" s="1"/>
  <c r="E473" i="8" s="1"/>
  <c r="D211" i="8"/>
  <c r="F211" i="8" s="1"/>
  <c r="D155" i="8"/>
  <c r="E155" i="8" s="1"/>
  <c r="D569" i="8"/>
  <c r="F569" i="8" s="1"/>
  <c r="D209" i="8"/>
  <c r="E209" i="8" s="1"/>
  <c r="D451" i="8"/>
  <c r="F451" i="8" s="1"/>
  <c r="D210" i="8"/>
  <c r="F210" i="8" s="1"/>
  <c r="D13" i="8"/>
  <c r="F13" i="8" s="1"/>
  <c r="D349" i="8"/>
  <c r="F349" i="8" s="1"/>
  <c r="D213" i="8"/>
  <c r="E213" i="8" s="1"/>
  <c r="D78" i="8"/>
  <c r="G44" i="14" s="1"/>
  <c r="D38" i="8"/>
  <c r="E38" i="8" s="1"/>
  <c r="D284" i="8"/>
  <c r="E284" i="8" s="1"/>
  <c r="D3" i="8"/>
  <c r="F3" i="8" s="1"/>
  <c r="D282" i="8"/>
  <c r="F282" i="8" s="1"/>
  <c r="D157" i="8"/>
  <c r="F157" i="8" s="1"/>
  <c r="D409" i="8"/>
  <c r="E409" i="8" s="1"/>
  <c r="D550" i="8"/>
  <c r="F550" i="8" s="1"/>
  <c r="D502" i="8"/>
  <c r="F502" i="8" s="1"/>
  <c r="D292" i="8"/>
  <c r="E292" i="8" s="1"/>
  <c r="D115" i="8"/>
  <c r="D70" i="14" s="1"/>
  <c r="D341" i="8"/>
  <c r="F341" i="8" s="1"/>
  <c r="D249" i="8"/>
  <c r="F249" i="8" s="1"/>
  <c r="D547" i="8"/>
  <c r="E547" i="8" s="1"/>
  <c r="D175" i="8"/>
  <c r="E175" i="8" s="1"/>
  <c r="D365" i="8"/>
  <c r="E365" i="8" s="1"/>
  <c r="D544" i="8"/>
  <c r="F544" i="8" s="1"/>
  <c r="M412" i="8"/>
  <c r="D412" i="8" s="1"/>
  <c r="E412" i="8" s="1"/>
  <c r="D371" i="8"/>
  <c r="F371" i="8" s="1"/>
  <c r="D192" i="8"/>
  <c r="E192" i="8" s="1"/>
  <c r="D141" i="8"/>
  <c r="F141" i="8" s="1"/>
  <c r="D180" i="8"/>
  <c r="E180" i="8" s="1"/>
  <c r="M592" i="8"/>
  <c r="D592" i="8" s="1"/>
  <c r="G80" i="14" s="1"/>
  <c r="D274" i="8"/>
  <c r="F274" i="8" s="1"/>
  <c r="D465" i="8"/>
  <c r="E465" i="8" s="1"/>
  <c r="D388" i="8"/>
  <c r="F388" i="8" s="1"/>
  <c r="D482" i="8"/>
  <c r="E482" i="8" s="1"/>
  <c r="D138" i="8"/>
  <c r="E138" i="8" s="1"/>
  <c r="D61" i="8"/>
  <c r="E61" i="8" s="1"/>
  <c r="D251" i="8"/>
  <c r="F251" i="8" s="1"/>
  <c r="D162" i="8"/>
  <c r="F162" i="8" s="1"/>
  <c r="D12" i="8"/>
  <c r="E12" i="8" s="1"/>
  <c r="D437" i="8"/>
  <c r="E437" i="8" s="1"/>
  <c r="D59" i="8"/>
  <c r="E59" i="8" s="1"/>
  <c r="D576" i="8"/>
  <c r="F576" i="8" s="1"/>
  <c r="D56" i="8"/>
  <c r="F56" i="8" s="1"/>
  <c r="D318" i="8"/>
  <c r="F318" i="8" s="1"/>
  <c r="D62" i="8"/>
  <c r="F62" i="8" s="1"/>
  <c r="D394" i="8"/>
  <c r="F394" i="8" s="1"/>
  <c r="D41" i="8"/>
  <c r="F41" i="8" s="1"/>
  <c r="D57" i="8"/>
  <c r="E57" i="8" s="1"/>
  <c r="D278" i="8"/>
  <c r="E278" i="8" s="1"/>
  <c r="M265" i="8"/>
  <c r="D265" i="8" s="1"/>
  <c r="F265" i="8" s="1"/>
  <c r="M322" i="8"/>
  <c r="D322" i="8" s="1"/>
  <c r="F322" i="8" s="1"/>
  <c r="D433" i="8"/>
  <c r="E433" i="8" s="1"/>
  <c r="D561" i="8"/>
  <c r="F561" i="8" s="1"/>
  <c r="D475" i="8"/>
  <c r="F475" i="8" s="1"/>
  <c r="D428" i="8"/>
  <c r="F428" i="8" s="1"/>
  <c r="I5" i="14"/>
  <c r="AG1" i="12"/>
  <c r="B10" i="9"/>
  <c r="E5" i="10"/>
  <c r="E6" i="10" s="1"/>
  <c r="E7" i="10" s="1"/>
  <c r="M16" i="12"/>
  <c r="C27" i="9"/>
  <c r="C25" i="9"/>
  <c r="B13" i="18" s="1"/>
  <c r="C17" i="9"/>
  <c r="C18" i="9"/>
  <c r="B6" i="18" s="1"/>
  <c r="C28" i="9"/>
  <c r="C23" i="9"/>
  <c r="B11" i="18" s="1"/>
  <c r="C26" i="9"/>
  <c r="B14" i="18" s="1"/>
  <c r="C19" i="9"/>
  <c r="B7" i="18" s="1"/>
  <c r="C21" i="9"/>
  <c r="B9" i="18" s="1"/>
  <c r="J18" i="12"/>
  <c r="C20" i="9"/>
  <c r="B8" i="18" s="1"/>
  <c r="G13" i="14"/>
  <c r="F17" i="12"/>
  <c r="F14" i="12"/>
  <c r="C16" i="9"/>
  <c r="B4" i="18" s="1"/>
  <c r="G11" i="14"/>
  <c r="J20" i="9"/>
  <c r="J25" i="9"/>
  <c r="G6" i="9"/>
  <c r="J4" i="12"/>
  <c r="F6" i="1"/>
  <c r="Z18" i="14" s="1"/>
  <c r="C146" i="9"/>
  <c r="F138" i="12"/>
  <c r="B18" i="14"/>
  <c r="G139" i="12"/>
  <c r="D147" i="9"/>
  <c r="B20" i="14"/>
  <c r="F140" i="12"/>
  <c r="C148" i="9"/>
  <c r="H3" i="12"/>
  <c r="D5" i="1"/>
  <c r="X17" i="14" s="1"/>
  <c r="E5" i="9"/>
  <c r="F139" i="12"/>
  <c r="C147" i="9"/>
  <c r="B19" i="14"/>
  <c r="K4" i="9"/>
  <c r="D79" i="7"/>
  <c r="N2" i="12"/>
  <c r="K5" i="14"/>
  <c r="J10" i="1"/>
  <c r="B17" i="14"/>
  <c r="F137" i="12"/>
  <c r="C145" i="9"/>
  <c r="E11" i="12"/>
  <c r="G5" i="14"/>
  <c r="B13" i="9"/>
  <c r="I4" i="6"/>
  <c r="D4" i="6"/>
  <c r="H7" i="6"/>
  <c r="D7" i="6"/>
  <c r="N6" i="10"/>
  <c r="N7" i="10" s="1"/>
  <c r="G25" i="12"/>
  <c r="E27" i="9"/>
  <c r="L27" i="9"/>
  <c r="K6" i="12"/>
  <c r="AZ24" i="5"/>
  <c r="AZ25" i="5" s="1"/>
  <c r="BA23" i="5"/>
  <c r="AZ27" i="5"/>
  <c r="AZ28" i="5" s="1"/>
  <c r="AZ29" i="5" s="1"/>
  <c r="BA26" i="5"/>
  <c r="AU21" i="5"/>
  <c r="AU22" i="5" s="1"/>
  <c r="AV20" i="5"/>
  <c r="AP15" i="5"/>
  <c r="AO16" i="5"/>
  <c r="AO17" i="5" s="1"/>
  <c r="AO18" i="5" s="1"/>
  <c r="AO19" i="5" s="1"/>
  <c r="F5" i="9"/>
  <c r="I3" i="12"/>
  <c r="AG9" i="5"/>
  <c r="AG10" i="5" s="1"/>
  <c r="AH8" i="5"/>
  <c r="N11" i="13"/>
  <c r="M10" i="13"/>
  <c r="Z6" i="5"/>
  <c r="Z7" i="5" s="1"/>
  <c r="AA5" i="5"/>
  <c r="L13" i="6"/>
  <c r="C13" i="6"/>
  <c r="Y13" i="6"/>
  <c r="E13" i="6" s="1"/>
  <c r="D13" i="6"/>
  <c r="A20" i="12"/>
  <c r="B22" i="9"/>
  <c r="AN11" i="5"/>
  <c r="AM12" i="5"/>
  <c r="AM13" i="5" s="1"/>
  <c r="AM14" i="5" s="1"/>
  <c r="E51" i="9"/>
  <c r="H33" i="12"/>
  <c r="E35" i="9"/>
  <c r="F64" i="12"/>
  <c r="F58" i="12"/>
  <c r="C33" i="9"/>
  <c r="H39" i="12"/>
  <c r="F41" i="12"/>
  <c r="F52" i="12"/>
  <c r="D45" i="9"/>
  <c r="G63" i="12"/>
  <c r="C55" i="9"/>
  <c r="C37" i="9"/>
  <c r="F32" i="12"/>
  <c r="F33" i="12"/>
  <c r="E41" i="9"/>
  <c r="G44" i="12"/>
  <c r="F65" i="12"/>
  <c r="G34" i="12"/>
  <c r="G42" i="12"/>
  <c r="H65" i="12"/>
  <c r="F56" i="12"/>
  <c r="E40" i="9"/>
  <c r="C60" i="9"/>
  <c r="F31" i="12"/>
  <c r="C43" i="9"/>
  <c r="C49" i="9"/>
  <c r="H44" i="12"/>
  <c r="E45" i="9"/>
  <c r="D46" i="9"/>
  <c r="G43" i="12"/>
  <c r="G47" i="12"/>
  <c r="D61" i="9"/>
  <c r="C48" i="9"/>
  <c r="E46" i="9"/>
  <c r="E57" i="9"/>
  <c r="F48" i="12"/>
  <c r="C42" i="9"/>
  <c r="H42" i="12"/>
  <c r="G58" i="12"/>
  <c r="E69" i="9"/>
  <c r="G66" i="12"/>
  <c r="E37" i="9"/>
  <c r="H55" i="12"/>
  <c r="F55" i="12"/>
  <c r="G62" i="12"/>
  <c r="G59" i="12"/>
  <c r="D32" i="9"/>
  <c r="C66" i="9"/>
  <c r="D60" i="9"/>
  <c r="E43" i="9"/>
  <c r="H45" i="12"/>
  <c r="C40" i="9"/>
  <c r="F66" i="12"/>
  <c r="E59" i="9"/>
  <c r="C38" i="9"/>
  <c r="H50" i="12"/>
  <c r="F57" i="12"/>
  <c r="G30" i="12"/>
  <c r="D39" i="9"/>
  <c r="H35" i="12"/>
  <c r="E38" i="9"/>
  <c r="C56" i="9"/>
  <c r="E44" i="9"/>
  <c r="E53" i="9"/>
  <c r="G37" i="12"/>
  <c r="F35" i="12"/>
  <c r="F51" i="12"/>
  <c r="H59" i="12"/>
  <c r="H57" i="12"/>
  <c r="G40" i="12"/>
  <c r="E47" i="9"/>
  <c r="G56" i="12"/>
  <c r="F38" i="12"/>
  <c r="G52" i="12"/>
  <c r="G53" i="12"/>
  <c r="D58" i="9"/>
  <c r="D66" i="9"/>
  <c r="C52" i="9"/>
  <c r="F53" i="12"/>
  <c r="C35" i="9"/>
  <c r="E52" i="9"/>
  <c r="E48" i="9"/>
  <c r="D56" i="9"/>
  <c r="C68" i="9"/>
  <c r="E62" i="9"/>
  <c r="G54" i="12"/>
  <c r="C58" i="9"/>
  <c r="F47" i="12"/>
  <c r="H60" i="12"/>
  <c r="F37" i="12"/>
  <c r="C41" i="9"/>
  <c r="F40" i="12"/>
  <c r="E32" i="9"/>
  <c r="D44" i="9"/>
  <c r="D54" i="9"/>
  <c r="C67" i="9"/>
  <c r="F50" i="12"/>
  <c r="F39" i="12"/>
  <c r="D65" i="9"/>
  <c r="F46" i="12"/>
  <c r="C53" i="9"/>
  <c r="G64" i="12"/>
  <c r="D36" i="9"/>
  <c r="F54" i="12"/>
  <c r="C36" i="9"/>
  <c r="H30" i="12"/>
  <c r="C59" i="9"/>
  <c r="G45" i="12"/>
  <c r="H48" i="12"/>
  <c r="H31" i="12"/>
  <c r="E65" i="9"/>
  <c r="D42" i="9"/>
  <c r="H43" i="12"/>
  <c r="C34" i="9"/>
  <c r="C54" i="9"/>
  <c r="E50" i="9"/>
  <c r="E64" i="9"/>
  <c r="E67" i="9"/>
  <c r="C51" i="9"/>
  <c r="C57" i="9"/>
  <c r="H36" i="12"/>
  <c r="C39" i="9"/>
  <c r="H38" i="12"/>
  <c r="D47" i="9"/>
  <c r="C69" i="9"/>
  <c r="H62" i="12"/>
  <c r="H63" i="12"/>
  <c r="E61" i="9"/>
  <c r="F36" i="12"/>
  <c r="D64" i="9"/>
  <c r="H46" i="12"/>
  <c r="F49" i="12"/>
  <c r="F34" i="12"/>
  <c r="D68" i="9"/>
  <c r="H41" i="12"/>
  <c r="E33" i="9"/>
  <c r="C50" i="9"/>
  <c r="H49" i="12"/>
  <c r="D62" i="9"/>
  <c r="D55" i="9"/>
  <c r="G60" i="12"/>
  <c r="H51" i="12"/>
  <c r="B5" i="18" l="1"/>
  <c r="G8" i="1"/>
  <c r="AA20" i="14" s="1"/>
  <c r="P6" i="10"/>
  <c r="F6" i="10" s="1"/>
  <c r="F100" i="8"/>
  <c r="O62" i="14" s="1"/>
  <c r="F574" i="8"/>
  <c r="F74" i="8"/>
  <c r="I40" i="14" s="1"/>
  <c r="E546" i="8"/>
  <c r="F359" i="8"/>
  <c r="E238" i="8"/>
  <c r="F44" i="8"/>
  <c r="E386" i="8"/>
  <c r="F472" i="8"/>
  <c r="F421" i="8"/>
  <c r="F516" i="8"/>
  <c r="E446" i="8"/>
  <c r="E427" i="8"/>
  <c r="F130" i="8"/>
  <c r="E522" i="8"/>
  <c r="F411" i="8"/>
  <c r="F487" i="8"/>
  <c r="E219" i="8"/>
  <c r="E571" i="8"/>
  <c r="G7" i="12"/>
  <c r="D9" i="9"/>
  <c r="F248" i="8"/>
  <c r="E393" i="8"/>
  <c r="F430" i="8"/>
  <c r="E420" i="8"/>
  <c r="E302" i="8"/>
  <c r="E23" i="8"/>
  <c r="F297" i="8"/>
  <c r="E216" i="8"/>
  <c r="E301" i="8"/>
  <c r="F438" i="8"/>
  <c r="E325" i="8"/>
  <c r="E389" i="8"/>
  <c r="E470" i="8"/>
  <c r="F263" i="8"/>
  <c r="F96" i="8"/>
  <c r="O60" i="14" s="1"/>
  <c r="H8" i="9"/>
  <c r="F106" i="8"/>
  <c r="O65" i="14" s="1"/>
  <c r="E408" i="8"/>
  <c r="F514" i="8"/>
  <c r="E55" i="8"/>
  <c r="E476" i="8"/>
  <c r="F493" i="8"/>
  <c r="F131" i="8"/>
  <c r="F132" i="8"/>
  <c r="F554" i="8"/>
  <c r="F179" i="8"/>
  <c r="E328" i="8"/>
  <c r="F331" i="8"/>
  <c r="F296" i="8"/>
  <c r="E560" i="8"/>
  <c r="E5" i="8"/>
  <c r="F568" i="8"/>
  <c r="E291" i="8"/>
  <c r="F336" i="8"/>
  <c r="F153" i="8"/>
  <c r="F562" i="8"/>
  <c r="F176" i="8"/>
  <c r="E81" i="8"/>
  <c r="H47" i="14" s="1"/>
  <c r="F396" i="8"/>
  <c r="F335" i="8"/>
  <c r="F503" i="8"/>
  <c r="F575" i="8"/>
  <c r="F171" i="8"/>
  <c r="E139" i="8"/>
  <c r="E37" i="8"/>
  <c r="F104" i="8"/>
  <c r="O64" i="14" s="1"/>
  <c r="F129" i="8"/>
  <c r="E490" i="8"/>
  <c r="F81" i="8"/>
  <c r="I47" i="14" s="1"/>
  <c r="E185" i="8"/>
  <c r="E439" i="8"/>
  <c r="F143" i="8"/>
  <c r="E99" i="8"/>
  <c r="E62" i="14" s="1"/>
  <c r="F215" i="8"/>
  <c r="F82" i="8"/>
  <c r="I48" i="14" s="1"/>
  <c r="E82" i="8"/>
  <c r="H48" i="14" s="1"/>
  <c r="E294" i="8"/>
  <c r="F236" i="8"/>
  <c r="E441" i="8"/>
  <c r="F363" i="8"/>
  <c r="F327" i="8"/>
  <c r="E110" i="8"/>
  <c r="N67" i="14" s="1"/>
  <c r="E578" i="8"/>
  <c r="E101" i="8"/>
  <c r="E63" i="14" s="1"/>
  <c r="F99" i="8"/>
  <c r="F62" i="14" s="1"/>
  <c r="E486" i="8"/>
  <c r="G48" i="14"/>
  <c r="F53" i="8"/>
  <c r="E517" i="8"/>
  <c r="E193" i="8"/>
  <c r="E243" i="8"/>
  <c r="E419" i="8"/>
  <c r="F168" i="8"/>
  <c r="E353" i="8"/>
  <c r="E346" i="8"/>
  <c r="E466" i="8"/>
  <c r="E381" i="8"/>
  <c r="E469" i="8"/>
  <c r="F314" i="8"/>
  <c r="F506" i="8"/>
  <c r="F435" i="8"/>
  <c r="F202" i="8"/>
  <c r="E242" i="8"/>
  <c r="E98" i="8"/>
  <c r="N61" i="14" s="1"/>
  <c r="E276" i="8"/>
  <c r="F498" i="8"/>
  <c r="F360" i="8"/>
  <c r="F247" i="8"/>
  <c r="E567" i="8"/>
  <c r="E552" i="8"/>
  <c r="F347" i="8"/>
  <c r="E214" i="8"/>
  <c r="F101" i="8"/>
  <c r="F63" i="14" s="1"/>
  <c r="F64" i="8"/>
  <c r="E170" i="8"/>
  <c r="E109" i="8"/>
  <c r="E67" i="14" s="1"/>
  <c r="E452" i="8"/>
  <c r="E425" i="8"/>
  <c r="F40" i="8"/>
  <c r="E71" i="8"/>
  <c r="H37" i="14" s="1"/>
  <c r="F447" i="8"/>
  <c r="E103" i="8"/>
  <c r="E64" i="14" s="1"/>
  <c r="E536" i="8"/>
  <c r="E323" i="8"/>
  <c r="F110" i="8"/>
  <c r="O67" i="14" s="1"/>
  <c r="F573" i="8"/>
  <c r="E543" i="8"/>
  <c r="E422" i="8"/>
  <c r="E337" i="8"/>
  <c r="E20" i="8"/>
  <c r="E317" i="8"/>
  <c r="F424" i="8"/>
  <c r="E159" i="8"/>
  <c r="F72" i="8"/>
  <c r="I38" i="14" s="1"/>
  <c r="E163" i="8"/>
  <c r="E72" i="8"/>
  <c r="H38" i="14" s="1"/>
  <c r="F24" i="8"/>
  <c r="F450" i="8"/>
  <c r="F133" i="8"/>
  <c r="E352" i="8"/>
  <c r="E191" i="8"/>
  <c r="E142" i="8"/>
  <c r="E488" i="8"/>
  <c r="E303" i="8"/>
  <c r="F478" i="8"/>
  <c r="E240" i="8"/>
  <c r="F9" i="8"/>
  <c r="F36" i="8"/>
  <c r="F316" i="8"/>
  <c r="F71" i="8"/>
  <c r="I37" i="14" s="1"/>
  <c r="O22" i="12"/>
  <c r="C24" i="9"/>
  <c r="B12" i="18" s="1"/>
  <c r="G22" i="12"/>
  <c r="E24" i="9"/>
  <c r="F218" i="8"/>
  <c r="F413" i="8"/>
  <c r="E114" i="8"/>
  <c r="N69" i="14" s="1"/>
  <c r="E117" i="8"/>
  <c r="E71" i="14" s="1"/>
  <c r="E310" i="8"/>
  <c r="E518" i="8"/>
  <c r="E525" i="8"/>
  <c r="E22" i="8"/>
  <c r="E361" i="8"/>
  <c r="E93" i="8"/>
  <c r="E59" i="14" s="1"/>
  <c r="F196" i="8"/>
  <c r="F279" i="8"/>
  <c r="F382" i="8"/>
  <c r="F54" i="8"/>
  <c r="E563" i="8"/>
  <c r="E5" i="1"/>
  <c r="Y17" i="14" s="1"/>
  <c r="F277" i="8"/>
  <c r="E513" i="8"/>
  <c r="F340" i="8"/>
  <c r="E268" i="8"/>
  <c r="F566" i="8"/>
  <c r="F252" i="8"/>
  <c r="E120" i="8"/>
  <c r="N72" i="14" s="1"/>
  <c r="E519" i="8"/>
  <c r="F351" i="8"/>
  <c r="F28" i="8"/>
  <c r="E51" i="8"/>
  <c r="F120" i="8"/>
  <c r="O72" i="14" s="1"/>
  <c r="E356" i="8"/>
  <c r="E555" i="8"/>
  <c r="E320" i="8"/>
  <c r="E432" i="8"/>
  <c r="E257" i="8"/>
  <c r="F288" i="8"/>
  <c r="V9" i="14"/>
  <c r="E464" i="8"/>
  <c r="AB19" i="14"/>
  <c r="M6" i="12"/>
  <c r="J8" i="9"/>
  <c r="I8" i="1"/>
  <c r="F113" i="8"/>
  <c r="F69" i="14" s="1"/>
  <c r="F19" i="8"/>
  <c r="F481" i="8"/>
  <c r="F338" i="8"/>
  <c r="F208" i="8"/>
  <c r="F321" i="8"/>
  <c r="F551" i="8"/>
  <c r="F485" i="8"/>
  <c r="E7" i="8"/>
  <c r="F508" i="8"/>
  <c r="F145" i="8"/>
  <c r="E358" i="8"/>
  <c r="E406" i="8"/>
  <c r="E501" i="8"/>
  <c r="E126" i="8"/>
  <c r="F440" i="8"/>
  <c r="E286" i="8"/>
  <c r="E18" i="8"/>
  <c r="E104" i="8"/>
  <c r="N64" i="14" s="1"/>
  <c r="E181" i="8"/>
  <c r="F259" i="8"/>
  <c r="E118" i="8"/>
  <c r="N71" i="14" s="1"/>
  <c r="F118" i="8"/>
  <c r="O71" i="14" s="1"/>
  <c r="E113" i="8"/>
  <c r="E69" i="14" s="1"/>
  <c r="F333" i="8"/>
  <c r="E520" i="8"/>
  <c r="F197" i="8"/>
  <c r="F284" i="8"/>
  <c r="F207" i="8"/>
  <c r="F444" i="8"/>
  <c r="F30" i="8"/>
  <c r="E100" i="8"/>
  <c r="N62" i="14" s="1"/>
  <c r="F445" i="8"/>
  <c r="F235" i="8"/>
  <c r="E158" i="8"/>
  <c r="E355" i="8"/>
  <c r="E74" i="8"/>
  <c r="H40" i="14" s="1"/>
  <c r="F26" i="8"/>
  <c r="E549" i="8"/>
  <c r="F330" i="8"/>
  <c r="E39" i="8"/>
  <c r="E290" i="8"/>
  <c r="E102" i="8"/>
  <c r="N63" i="14" s="1"/>
  <c r="F111" i="8"/>
  <c r="F68" i="14" s="1"/>
  <c r="E372" i="8"/>
  <c r="E27" i="8"/>
  <c r="F283" i="8"/>
  <c r="E92" i="8"/>
  <c r="N58" i="14" s="1"/>
  <c r="F102" i="8"/>
  <c r="O63" i="14" s="1"/>
  <c r="E112" i="8"/>
  <c r="N68" i="14" s="1"/>
  <c r="F362" i="8"/>
  <c r="E111" i="8"/>
  <c r="E68" i="14" s="1"/>
  <c r="E367" i="8"/>
  <c r="F92" i="8"/>
  <c r="O58" i="14" s="1"/>
  <c r="F6" i="8"/>
  <c r="E308" i="8"/>
  <c r="E174" i="8"/>
  <c r="F528" i="8"/>
  <c r="F172" i="8"/>
  <c r="E579" i="8"/>
  <c r="F103" i="8"/>
  <c r="F64" i="14" s="1"/>
  <c r="E407" i="8"/>
  <c r="E80" i="8"/>
  <c r="H46" i="14" s="1"/>
  <c r="E201" i="8"/>
  <c r="F182" i="8"/>
  <c r="E480" i="8"/>
  <c r="E312" i="8"/>
  <c r="F354" i="8"/>
  <c r="F401" i="8"/>
  <c r="E60" i="8"/>
  <c r="E523" i="8"/>
  <c r="F473" i="8"/>
  <c r="F397" i="8"/>
  <c r="F98" i="8"/>
  <c r="O61" i="14" s="1"/>
  <c r="E467" i="8"/>
  <c r="E217" i="8"/>
  <c r="E48" i="8"/>
  <c r="E431" i="8"/>
  <c r="E106" i="8"/>
  <c r="N65" i="14" s="1"/>
  <c r="E545" i="8"/>
  <c r="E298" i="8"/>
  <c r="E569" i="8"/>
  <c r="F326" i="8"/>
  <c r="F93" i="8"/>
  <c r="F59" i="14" s="1"/>
  <c r="F404" i="8"/>
  <c r="E258" i="8"/>
  <c r="E385" i="8"/>
  <c r="F505" i="8"/>
  <c r="F234" i="8"/>
  <c r="E402" i="8"/>
  <c r="E241" i="8"/>
  <c r="F79" i="8"/>
  <c r="I45" i="14" s="1"/>
  <c r="F278" i="8"/>
  <c r="E584" i="8"/>
  <c r="E184" i="8"/>
  <c r="E198" i="8"/>
  <c r="F292" i="8"/>
  <c r="F443" i="8"/>
  <c r="E403" i="8"/>
  <c r="F49" i="8"/>
  <c r="F222" i="8"/>
  <c r="F244" i="8"/>
  <c r="E65" i="8"/>
  <c r="E128" i="8"/>
  <c r="F209" i="8"/>
  <c r="F220" i="8"/>
  <c r="F329" i="8"/>
  <c r="E388" i="8"/>
  <c r="E73" i="8"/>
  <c r="H39" i="14" s="1"/>
  <c r="E434" i="8"/>
  <c r="F114" i="8"/>
  <c r="O69" i="14" s="1"/>
  <c r="E108" i="8"/>
  <c r="N66" i="14" s="1"/>
  <c r="E300" i="8"/>
  <c r="E451" i="8"/>
  <c r="E95" i="8"/>
  <c r="E60" i="14" s="1"/>
  <c r="F138" i="8"/>
  <c r="F73" i="8"/>
  <c r="I39" i="14" s="1"/>
  <c r="F117" i="8"/>
  <c r="F71" i="14" s="1"/>
  <c r="F59" i="8"/>
  <c r="E3" i="8"/>
  <c r="F334" i="8"/>
  <c r="E460" i="8"/>
  <c r="F256" i="8"/>
  <c r="E463" i="8"/>
  <c r="F239" i="8"/>
  <c r="F547" i="8"/>
  <c r="E281" i="8"/>
  <c r="F309" i="8"/>
  <c r="F313" i="8"/>
  <c r="E483" i="8"/>
  <c r="E371" i="8"/>
  <c r="E265" i="8"/>
  <c r="E287" i="8"/>
  <c r="E96" i="8"/>
  <c r="N60" i="14" s="1"/>
  <c r="F489" i="8"/>
  <c r="F80" i="8"/>
  <c r="I46" i="14" s="1"/>
  <c r="F50" i="8"/>
  <c r="F482" i="8"/>
  <c r="E479" i="8"/>
  <c r="F280" i="8"/>
  <c r="E275" i="8"/>
  <c r="E115" i="8"/>
  <c r="E70" i="14" s="1"/>
  <c r="F535" i="8"/>
  <c r="F412" i="8"/>
  <c r="E448" i="8"/>
  <c r="F399" i="8"/>
  <c r="F115" i="8"/>
  <c r="F70" i="14" s="1"/>
  <c r="E350" i="8"/>
  <c r="E576" i="8"/>
  <c r="F565" i="8"/>
  <c r="E423" i="8"/>
  <c r="E75" i="8"/>
  <c r="H41" i="14" s="1"/>
  <c r="F592" i="8"/>
  <c r="I80" i="14" s="1"/>
  <c r="F255" i="8"/>
  <c r="E394" i="8"/>
  <c r="F154" i="8"/>
  <c r="E29" i="8"/>
  <c r="F261" i="8"/>
  <c r="E461" i="8"/>
  <c r="E341" i="8"/>
  <c r="E56" i="8"/>
  <c r="E246" i="8"/>
  <c r="E529" i="8"/>
  <c r="F471" i="8"/>
  <c r="F165" i="8"/>
  <c r="F527" i="8"/>
  <c r="F577" i="8"/>
  <c r="F392" i="8"/>
  <c r="F311" i="8"/>
  <c r="F43" i="8"/>
  <c r="F442" i="8"/>
  <c r="F90" i="8"/>
  <c r="O57" i="14" s="1"/>
  <c r="E90" i="8"/>
  <c r="N57" i="14" s="1"/>
  <c r="F156" i="8"/>
  <c r="E212" i="8"/>
  <c r="F146" i="8"/>
  <c r="E119" i="8"/>
  <c r="E72" i="14" s="1"/>
  <c r="E8" i="8"/>
  <c r="F75" i="8"/>
  <c r="I41" i="14" s="1"/>
  <c r="E592" i="8"/>
  <c r="H80" i="14" s="1"/>
  <c r="E475" i="8"/>
  <c r="E591" i="8"/>
  <c r="H79" i="14" s="1"/>
  <c r="F175" i="8"/>
  <c r="E107" i="8"/>
  <c r="E66" i="14" s="1"/>
  <c r="F332" i="8"/>
  <c r="F267" i="8"/>
  <c r="E349" i="8"/>
  <c r="E322" i="8"/>
  <c r="E376" i="8"/>
  <c r="E526" i="8"/>
  <c r="E524" i="8"/>
  <c r="F173" i="8"/>
  <c r="F459" i="8"/>
  <c r="E169" i="8"/>
  <c r="F237" i="8"/>
  <c r="F468" i="8"/>
  <c r="E556" i="8"/>
  <c r="E282" i="8"/>
  <c r="E162" i="8"/>
  <c r="F107" i="8"/>
  <c r="F66" i="14" s="1"/>
  <c r="F119" i="8"/>
  <c r="F72" i="14" s="1"/>
  <c r="F25" i="8"/>
  <c r="F591" i="8"/>
  <c r="I79" i="14" s="1"/>
  <c r="F52" i="8"/>
  <c r="F495" i="8"/>
  <c r="E134" i="8"/>
  <c r="F339" i="8"/>
  <c r="E324" i="8"/>
  <c r="F477" i="8"/>
  <c r="E137" i="8"/>
  <c r="F500" i="8"/>
  <c r="E521" i="8"/>
  <c r="F409" i="8"/>
  <c r="E557" i="8"/>
  <c r="F553" i="8"/>
  <c r="E76" i="8"/>
  <c r="H42" i="14" s="1"/>
  <c r="E77" i="8"/>
  <c r="H43" i="14" s="1"/>
  <c r="F164" i="8"/>
  <c r="F253" i="8"/>
  <c r="E79" i="8"/>
  <c r="H45" i="14" s="1"/>
  <c r="F180" i="8"/>
  <c r="E223" i="8"/>
  <c r="F537" i="8"/>
  <c r="E436" i="8"/>
  <c r="E550" i="8"/>
  <c r="F112" i="8"/>
  <c r="O68" i="14" s="1"/>
  <c r="E369" i="8"/>
  <c r="F531" i="8"/>
  <c r="F199" i="8"/>
  <c r="E105" i="8"/>
  <c r="E65" i="14" s="1"/>
  <c r="F429" i="8"/>
  <c r="F12" i="8"/>
  <c r="E140" i="8"/>
  <c r="F368" i="8"/>
  <c r="F266" i="8"/>
  <c r="E42" i="8"/>
  <c r="F474" i="8"/>
  <c r="F116" i="8"/>
  <c r="O70" i="14" s="1"/>
  <c r="E274" i="8"/>
  <c r="E400" i="8"/>
  <c r="F390" i="8"/>
  <c r="E41" i="8"/>
  <c r="F95" i="8"/>
  <c r="F60" i="14" s="1"/>
  <c r="E364" i="8"/>
  <c r="E250" i="8"/>
  <c r="E315" i="8"/>
  <c r="E428" i="8"/>
  <c r="F387" i="8"/>
  <c r="F504" i="8"/>
  <c r="F213" i="8"/>
  <c r="E295" i="8"/>
  <c r="E21" i="8"/>
  <c r="F548" i="8"/>
  <c r="E211" i="8"/>
  <c r="F530" i="8"/>
  <c r="F365" i="8"/>
  <c r="F105" i="8"/>
  <c r="F65" i="14" s="1"/>
  <c r="E116" i="8"/>
  <c r="N70" i="14" s="1"/>
  <c r="E264" i="8"/>
  <c r="F293" i="8"/>
  <c r="E97" i="8"/>
  <c r="E61" i="14" s="1"/>
  <c r="F484" i="8"/>
  <c r="E127" i="8"/>
  <c r="E58" i="8"/>
  <c r="E570" i="8"/>
  <c r="E502" i="8"/>
  <c r="F155" i="8"/>
  <c r="F383" i="8"/>
  <c r="F178" i="8"/>
  <c r="E507" i="8"/>
  <c r="E544" i="8"/>
  <c r="F515" i="8"/>
  <c r="E260" i="8"/>
  <c r="E160" i="8"/>
  <c r="F465" i="8"/>
  <c r="F348" i="8"/>
  <c r="F5" i="12"/>
  <c r="B7" i="1"/>
  <c r="V19" i="14" s="1"/>
  <c r="C7" i="9"/>
  <c r="F61" i="8"/>
  <c r="E161" i="8"/>
  <c r="E194" i="8"/>
  <c r="E561" i="8"/>
  <c r="E157" i="8"/>
  <c r="F437" i="8"/>
  <c r="E318" i="8"/>
  <c r="E10" i="8"/>
  <c r="E254" i="8"/>
  <c r="F45" i="8"/>
  <c r="F233" i="8"/>
  <c r="E395" i="8"/>
  <c r="F426" i="8"/>
  <c r="E532" i="8"/>
  <c r="E245" i="8"/>
  <c r="E299" i="8"/>
  <c r="E449" i="8"/>
  <c r="F195" i="8"/>
  <c r="E319" i="8"/>
  <c r="F177" i="8"/>
  <c r="F192" i="8"/>
  <c r="E78" i="8"/>
  <c r="H44" i="14" s="1"/>
  <c r="F109" i="8"/>
  <c r="F67" i="14" s="1"/>
  <c r="F91" i="8"/>
  <c r="F58" i="14" s="1"/>
  <c r="F76" i="8"/>
  <c r="I42" i="14" s="1"/>
  <c r="F78" i="8"/>
  <c r="I44" i="14" s="1"/>
  <c r="E251" i="8"/>
  <c r="E62" i="8"/>
  <c r="F38" i="8"/>
  <c r="F108" i="8"/>
  <c r="O66" i="14" s="1"/>
  <c r="E11" i="8"/>
  <c r="E417" i="8"/>
  <c r="E144" i="8"/>
  <c r="E370" i="8"/>
  <c r="F262" i="8"/>
  <c r="F433" i="8"/>
  <c r="E249" i="8"/>
  <c r="F4" i="8"/>
  <c r="E91" i="8"/>
  <c r="E58" i="14" s="1"/>
  <c r="F405" i="8"/>
  <c r="E384" i="8"/>
  <c r="E210" i="8"/>
  <c r="E564" i="8"/>
  <c r="E410" i="8"/>
  <c r="E141" i="8"/>
  <c r="F366" i="8"/>
  <c r="E186" i="8"/>
  <c r="E285" i="8"/>
  <c r="E572" i="8"/>
  <c r="E89" i="8"/>
  <c r="E57" i="14" s="1"/>
  <c r="F391" i="8"/>
  <c r="E462" i="8"/>
  <c r="E200" i="8"/>
  <c r="E136" i="8"/>
  <c r="F97" i="8"/>
  <c r="F61" i="14" s="1"/>
  <c r="F77" i="8"/>
  <c r="I43" i="14" s="1"/>
  <c r="F57" i="8"/>
  <c r="E94" i="8"/>
  <c r="N59" i="14" s="1"/>
  <c r="E4" i="8"/>
  <c r="F89" i="8"/>
  <c r="F57" i="14" s="1"/>
  <c r="E13" i="8"/>
  <c r="F94" i="8"/>
  <c r="O59" i="14" s="1"/>
  <c r="J5" i="12"/>
  <c r="G7" i="9"/>
  <c r="F7" i="1"/>
  <c r="Z19" i="14" s="1"/>
  <c r="H9" i="14"/>
  <c r="D16" i="9"/>
  <c r="G14" i="12"/>
  <c r="K14" i="12"/>
  <c r="H16" i="9"/>
  <c r="J16" i="18" s="1"/>
  <c r="E4" i="6"/>
  <c r="D13" i="9"/>
  <c r="G11" i="12"/>
  <c r="J4" i="6"/>
  <c r="I13" i="9"/>
  <c r="L11" i="12"/>
  <c r="J11" i="12"/>
  <c r="G13" i="9"/>
  <c r="E6" i="9"/>
  <c r="D6" i="1"/>
  <c r="X18" i="14" s="1"/>
  <c r="H4" i="12"/>
  <c r="BA24" i="5"/>
  <c r="BA25" i="5" s="1"/>
  <c r="BB23" i="5"/>
  <c r="AW20" i="5"/>
  <c r="AV21" i="5"/>
  <c r="AV22" i="5" s="1"/>
  <c r="BB26" i="5"/>
  <c r="BA27" i="5"/>
  <c r="BA28" i="5" s="1"/>
  <c r="BA29" i="5" s="1"/>
  <c r="AN12" i="5"/>
  <c r="AN13" i="5" s="1"/>
  <c r="AN14" i="5" s="1"/>
  <c r="AO11" i="5"/>
  <c r="N12" i="13"/>
  <c r="M11" i="13"/>
  <c r="D22" i="9"/>
  <c r="J10" i="18" s="1"/>
  <c r="G20" i="12"/>
  <c r="H20" i="12"/>
  <c r="E22" i="9"/>
  <c r="AI8" i="5"/>
  <c r="AH9" i="5"/>
  <c r="AH10" i="5" s="1"/>
  <c r="AQ15" i="5"/>
  <c r="AP16" i="5"/>
  <c r="AP17" i="5" s="1"/>
  <c r="AP18" i="5" s="1"/>
  <c r="AP19" i="5" s="1"/>
  <c r="F20" i="12"/>
  <c r="C22" i="9"/>
  <c r="B10" i="18" s="1"/>
  <c r="AB5" i="5"/>
  <c r="AA6" i="5"/>
  <c r="AA7" i="5" s="1"/>
  <c r="O20" i="12"/>
  <c r="L22" i="9"/>
  <c r="F4" i="6"/>
  <c r="X8" i="14" s="1"/>
  <c r="D148" i="9"/>
  <c r="G140" i="12"/>
  <c r="E68" i="9"/>
  <c r="E60" i="9"/>
  <c r="D59" i="9"/>
  <c r="D57" i="9"/>
  <c r="D52" i="9"/>
  <c r="G38" i="12"/>
  <c r="D69" i="9"/>
  <c r="D35" i="9"/>
  <c r="G39" i="12"/>
  <c r="H56" i="12"/>
  <c r="H66" i="12"/>
  <c r="H32" i="12"/>
  <c r="D40" i="9"/>
  <c r="G48" i="12"/>
  <c r="H52" i="12"/>
  <c r="G50" i="12"/>
  <c r="G41" i="12"/>
  <c r="D53" i="9"/>
  <c r="D37" i="9"/>
  <c r="D41" i="9"/>
  <c r="E36" i="9"/>
  <c r="H58" i="12"/>
  <c r="E49" i="9"/>
  <c r="E42" i="9"/>
  <c r="G36" i="12"/>
  <c r="H47" i="12"/>
  <c r="G35" i="12"/>
  <c r="H34" i="12"/>
  <c r="D33" i="9"/>
  <c r="E56" i="9"/>
  <c r="G49" i="12"/>
  <c r="H64" i="12"/>
  <c r="H40" i="12"/>
  <c r="G57" i="12"/>
  <c r="G65" i="12"/>
  <c r="D50" i="9"/>
  <c r="H37" i="12"/>
  <c r="G32" i="12"/>
  <c r="E54" i="9"/>
  <c r="D43" i="9"/>
  <c r="D48" i="9"/>
  <c r="G33" i="12"/>
  <c r="E34" i="9"/>
  <c r="D49" i="9"/>
  <c r="E55" i="9"/>
  <c r="G55" i="12"/>
  <c r="D34" i="9"/>
  <c r="H53" i="12"/>
  <c r="G31" i="12"/>
  <c r="H54" i="12"/>
  <c r="D38" i="9"/>
  <c r="G46" i="12"/>
  <c r="E66" i="9"/>
  <c r="G51" i="12"/>
  <c r="D51" i="9"/>
  <c r="E58" i="9"/>
  <c r="D67" i="9"/>
  <c r="E39" i="9"/>
  <c r="J4" i="18" l="1"/>
  <c r="J5" i="18"/>
  <c r="H9" i="9"/>
  <c r="K7" i="12"/>
  <c r="L12" i="18"/>
  <c r="I12" i="18"/>
  <c r="I10" i="18"/>
  <c r="L10" i="18"/>
  <c r="P7" i="10"/>
  <c r="F7" i="10" s="1"/>
  <c r="I4" i="12"/>
  <c r="E6" i="1"/>
  <c r="Y18" i="14" s="1"/>
  <c r="F6" i="9"/>
  <c r="AB20" i="14"/>
  <c r="J9" i="9"/>
  <c r="M7" i="12"/>
  <c r="F13" i="9"/>
  <c r="E13" i="9"/>
  <c r="F6" i="12"/>
  <c r="B8" i="1"/>
  <c r="V20" i="14" s="1"/>
  <c r="C8" i="9"/>
  <c r="G8" i="9"/>
  <c r="F8" i="1"/>
  <c r="Z20" i="14" s="1"/>
  <c r="J6" i="12"/>
  <c r="H11" i="12"/>
  <c r="M11" i="12"/>
  <c r="J13" i="9"/>
  <c r="H5" i="12"/>
  <c r="E7" i="9"/>
  <c r="D7" i="1"/>
  <c r="X19" i="14" s="1"/>
  <c r="BC23" i="5"/>
  <c r="BC24" i="5" s="1"/>
  <c r="BC25" i="5" s="1"/>
  <c r="BB24" i="5"/>
  <c r="BB25" i="5" s="1"/>
  <c r="BC26" i="5"/>
  <c r="BC27" i="5" s="1"/>
  <c r="BC28" i="5" s="1"/>
  <c r="BC29" i="5" s="1"/>
  <c r="BB27" i="5"/>
  <c r="BB28" i="5" s="1"/>
  <c r="BB29" i="5" s="1"/>
  <c r="AW21" i="5"/>
  <c r="AW22" i="5" s="1"/>
  <c r="AX20" i="5"/>
  <c r="AJ8" i="5"/>
  <c r="AI9" i="5"/>
  <c r="AI10" i="5" s="1"/>
  <c r="AR15" i="5"/>
  <c r="AQ16" i="5"/>
  <c r="AQ17" i="5" s="1"/>
  <c r="AQ18" i="5" s="1"/>
  <c r="AQ19" i="5" s="1"/>
  <c r="AB6" i="5"/>
  <c r="AB7" i="5" s="1"/>
  <c r="AC5" i="5"/>
  <c r="M12" i="13"/>
  <c r="N13" i="13"/>
  <c r="I11" i="12"/>
  <c r="AO12" i="5"/>
  <c r="AO13" i="5" s="1"/>
  <c r="AO14" i="5" s="1"/>
  <c r="AP11" i="5"/>
  <c r="I5" i="12" l="1"/>
  <c r="E7" i="1"/>
  <c r="Y19" i="14" s="1"/>
  <c r="F7" i="9"/>
  <c r="F7" i="12"/>
  <c r="C9" i="9"/>
  <c r="G9" i="9"/>
  <c r="J7" i="12"/>
  <c r="D8" i="1"/>
  <c r="X20" i="14" s="1"/>
  <c r="H6" i="12"/>
  <c r="E8" i="9"/>
  <c r="AY20" i="5"/>
  <c r="AX21" i="5"/>
  <c r="AX22" i="5" s="1"/>
  <c r="AR16" i="5"/>
  <c r="AR17" i="5" s="1"/>
  <c r="AR18" i="5" s="1"/>
  <c r="AR19" i="5" s="1"/>
  <c r="AS15" i="5"/>
  <c r="M13" i="13"/>
  <c r="N14" i="13"/>
  <c r="AD5" i="5"/>
  <c r="AC6" i="5"/>
  <c r="AC7" i="5" s="1"/>
  <c r="AJ9" i="5"/>
  <c r="AJ10" i="5" s="1"/>
  <c r="AK8" i="5"/>
  <c r="AQ11" i="5"/>
  <c r="AP12" i="5"/>
  <c r="AP13" i="5" s="1"/>
  <c r="AP14" i="5" s="1"/>
  <c r="F8" i="9" l="1"/>
  <c r="E8" i="1"/>
  <c r="Y20" i="14" s="1"/>
  <c r="I6" i="12"/>
  <c r="H7" i="12"/>
  <c r="E9" i="9"/>
  <c r="AZ20" i="5"/>
  <c r="AY21" i="5"/>
  <c r="AY22" i="5" s="1"/>
  <c r="AE5" i="5"/>
  <c r="AD6" i="5"/>
  <c r="AD7" i="5" s="1"/>
  <c r="N15" i="13"/>
  <c r="M14" i="13"/>
  <c r="AQ12" i="5"/>
  <c r="AQ13" i="5" s="1"/>
  <c r="AQ14" i="5" s="1"/>
  <c r="AR11" i="5"/>
  <c r="AK9" i="5"/>
  <c r="AK10" i="5" s="1"/>
  <c r="AL8" i="5"/>
  <c r="AS16" i="5"/>
  <c r="AS17" i="5" s="1"/>
  <c r="AS18" i="5" s="1"/>
  <c r="AS19" i="5" s="1"/>
  <c r="AT15" i="5"/>
  <c r="I7" i="12" l="1"/>
  <c r="F9" i="9"/>
  <c r="AZ21" i="5"/>
  <c r="AZ22" i="5" s="1"/>
  <c r="BA20" i="5"/>
  <c r="AR12" i="5"/>
  <c r="AR13" i="5" s="1"/>
  <c r="AR14" i="5" s="1"/>
  <c r="AS11" i="5"/>
  <c r="AU15" i="5"/>
  <c r="AT16" i="5"/>
  <c r="AT17" i="5" s="1"/>
  <c r="AT18" i="5" s="1"/>
  <c r="AT19" i="5" s="1"/>
  <c r="M15" i="13"/>
  <c r="N16" i="13"/>
  <c r="AM8" i="5"/>
  <c r="AL9" i="5"/>
  <c r="AL10" i="5" s="1"/>
  <c r="AF5" i="5"/>
  <c r="AE6" i="5"/>
  <c r="AE7" i="5" s="1"/>
  <c r="BB20" i="5" l="1"/>
  <c r="BA21" i="5"/>
  <c r="BA22" i="5" s="1"/>
  <c r="N17" i="13"/>
  <c r="M16" i="13"/>
  <c r="AN8" i="5"/>
  <c r="AM9" i="5"/>
  <c r="AM10" i="5" s="1"/>
  <c r="AG5" i="5"/>
  <c r="AF6" i="5"/>
  <c r="AF7" i="5" s="1"/>
  <c r="AU16" i="5"/>
  <c r="AU17" i="5" s="1"/>
  <c r="AU18" i="5" s="1"/>
  <c r="AU19" i="5" s="1"/>
  <c r="AV15" i="5"/>
  <c r="AS12" i="5"/>
  <c r="AS13" i="5" s="1"/>
  <c r="AS14" i="5" s="1"/>
  <c r="AT11" i="5"/>
  <c r="BB21" i="5" l="1"/>
  <c r="BB22" i="5" s="1"/>
  <c r="BC20" i="5"/>
  <c r="BC21" i="5" s="1"/>
  <c r="BC22" i="5" s="1"/>
  <c r="AW15" i="5"/>
  <c r="AV16" i="5"/>
  <c r="AV17" i="5" s="1"/>
  <c r="AV18" i="5" s="1"/>
  <c r="AV19" i="5" s="1"/>
  <c r="AH5" i="5"/>
  <c r="AG6" i="5"/>
  <c r="AG7" i="5" s="1"/>
  <c r="AN9" i="5"/>
  <c r="AN10" i="5" s="1"/>
  <c r="AO8" i="5"/>
  <c r="AT12" i="5"/>
  <c r="AT13" i="5" s="1"/>
  <c r="AT14" i="5" s="1"/>
  <c r="AU11" i="5"/>
  <c r="N18" i="13"/>
  <c r="M17" i="13"/>
  <c r="AO9" i="5" l="1"/>
  <c r="AO10" i="5" s="1"/>
  <c r="AP8" i="5"/>
  <c r="AI5" i="5"/>
  <c r="AH6" i="5"/>
  <c r="AH7" i="5" s="1"/>
  <c r="AU12" i="5"/>
  <c r="AU13" i="5" s="1"/>
  <c r="AU14" i="5" s="1"/>
  <c r="AV11" i="5"/>
  <c r="M18" i="13"/>
  <c r="N19" i="13"/>
  <c r="AW16" i="5"/>
  <c r="AW17" i="5" s="1"/>
  <c r="AW18" i="5" s="1"/>
  <c r="AW19" i="5" s="1"/>
  <c r="AX15" i="5"/>
  <c r="AQ8" i="5" l="1"/>
  <c r="AP9" i="5"/>
  <c r="AP10" i="5" s="1"/>
  <c r="AW11" i="5"/>
  <c r="AV12" i="5"/>
  <c r="AV13" i="5" s="1"/>
  <c r="AV14" i="5" s="1"/>
  <c r="AY15" i="5"/>
  <c r="AX16" i="5"/>
  <c r="AX17" i="5" s="1"/>
  <c r="AX18" i="5" s="1"/>
  <c r="AX19" i="5" s="1"/>
  <c r="N20" i="13"/>
  <c r="M19" i="13"/>
  <c r="AI6" i="5"/>
  <c r="AI7" i="5" s="1"/>
  <c r="AJ5" i="5"/>
  <c r="AR8" i="5" l="1"/>
  <c r="AQ9" i="5"/>
  <c r="AQ10" i="5" s="1"/>
  <c r="N21" i="13"/>
  <c r="M20" i="13"/>
  <c r="AY16" i="5"/>
  <c r="AY17" i="5" s="1"/>
  <c r="AY18" i="5" s="1"/>
  <c r="AY19" i="5" s="1"/>
  <c r="AZ15" i="5"/>
  <c r="AX11" i="5"/>
  <c r="AW12" i="5"/>
  <c r="AW13" i="5" s="1"/>
  <c r="AW14" i="5" s="1"/>
  <c r="AK5" i="5"/>
  <c r="AJ6" i="5"/>
  <c r="AJ7" i="5" s="1"/>
  <c r="BA15" i="5" l="1"/>
  <c r="AZ16" i="5"/>
  <c r="AZ17" i="5" s="1"/>
  <c r="AZ18" i="5" s="1"/>
  <c r="AZ19" i="5" s="1"/>
  <c r="AY11" i="5"/>
  <c r="AX12" i="5"/>
  <c r="AX13" i="5" s="1"/>
  <c r="AX14" i="5" s="1"/>
  <c r="N22" i="13"/>
  <c r="M21" i="13"/>
  <c r="AL5" i="5"/>
  <c r="AK6" i="5"/>
  <c r="AK7" i="5" s="1"/>
  <c r="AS8" i="5"/>
  <c r="AR9" i="5"/>
  <c r="AR10" i="5" s="1"/>
  <c r="AS9" i="5" l="1"/>
  <c r="AS10" i="5" s="1"/>
  <c r="AT8" i="5"/>
  <c r="BA16" i="5"/>
  <c r="BA17" i="5" s="1"/>
  <c r="BA18" i="5" s="1"/>
  <c r="BA19" i="5" s="1"/>
  <c r="BB15" i="5"/>
  <c r="AM5" i="5"/>
  <c r="AL6" i="5"/>
  <c r="AL7" i="5" s="1"/>
  <c r="N23" i="13"/>
  <c r="M22" i="13"/>
  <c r="AZ11" i="5"/>
  <c r="AY12" i="5"/>
  <c r="AY13" i="5" s="1"/>
  <c r="AY14" i="5" s="1"/>
  <c r="M23" i="13" l="1"/>
  <c r="N24" i="13"/>
  <c r="AU8" i="5"/>
  <c r="AT9" i="5"/>
  <c r="AT10" i="5" s="1"/>
  <c r="AM6" i="5"/>
  <c r="AM7" i="5" s="1"/>
  <c r="AN5" i="5"/>
  <c r="BB16" i="5"/>
  <c r="BB17" i="5" s="1"/>
  <c r="BB18" i="5" s="1"/>
  <c r="BB19" i="5" s="1"/>
  <c r="BC15" i="5"/>
  <c r="BC16" i="5" s="1"/>
  <c r="BC17" i="5" s="1"/>
  <c r="BC18" i="5" s="1"/>
  <c r="BC19" i="5" s="1"/>
  <c r="BA11" i="5"/>
  <c r="AZ12" i="5"/>
  <c r="AZ13" i="5" s="1"/>
  <c r="AZ14" i="5" s="1"/>
  <c r="BB11" i="5" l="1"/>
  <c r="BA12" i="5"/>
  <c r="BA13" i="5" s="1"/>
  <c r="BA14" i="5" s="1"/>
  <c r="AO5" i="5"/>
  <c r="AN6" i="5"/>
  <c r="AN7" i="5" s="1"/>
  <c r="AV8" i="5"/>
  <c r="AU9" i="5"/>
  <c r="AU10" i="5" s="1"/>
  <c r="N25" i="13"/>
  <c r="M24" i="13"/>
  <c r="BC11" i="5" l="1"/>
  <c r="BC12" i="5" s="1"/>
  <c r="BC13" i="5" s="1"/>
  <c r="BC14" i="5" s="1"/>
  <c r="BB12" i="5"/>
  <c r="BB13" i="5" s="1"/>
  <c r="BB14" i="5" s="1"/>
  <c r="M25" i="13"/>
  <c r="N26" i="13"/>
  <c r="AW8" i="5"/>
  <c r="AV9" i="5"/>
  <c r="AV10" i="5" s="1"/>
  <c r="AP5" i="5"/>
  <c r="AO6" i="5"/>
  <c r="AO7" i="5" s="1"/>
  <c r="AX8" i="5" l="1"/>
  <c r="AW9" i="5"/>
  <c r="AW10" i="5" s="1"/>
  <c r="AQ5" i="5"/>
  <c r="AP6" i="5"/>
  <c r="AP7" i="5" s="1"/>
  <c r="M26" i="13"/>
  <c r="N27" i="13"/>
  <c r="M27" i="13" l="1"/>
  <c r="N28" i="13"/>
  <c r="AQ6" i="5"/>
  <c r="AQ7" i="5" s="1"/>
  <c r="AR5" i="5"/>
  <c r="AY8" i="5"/>
  <c r="AX9" i="5"/>
  <c r="AX10" i="5" s="1"/>
  <c r="AZ8" i="5" l="1"/>
  <c r="AY9" i="5"/>
  <c r="AY10" i="5" s="1"/>
  <c r="AS5" i="5"/>
  <c r="AR6" i="5"/>
  <c r="AR7" i="5" s="1"/>
  <c r="M28" i="13"/>
  <c r="N29" i="13"/>
  <c r="BA8" i="5" l="1"/>
  <c r="AZ9" i="5"/>
  <c r="AZ10" i="5" s="1"/>
  <c r="AS6" i="5"/>
  <c r="AS7" i="5" s="1"/>
  <c r="AT5" i="5"/>
  <c r="M29" i="13"/>
  <c r="N30" i="13"/>
  <c r="BA9" i="5" l="1"/>
  <c r="BA10" i="5" s="1"/>
  <c r="BB8" i="5"/>
  <c r="M30" i="13"/>
  <c r="N31" i="13"/>
  <c r="AU5" i="5"/>
  <c r="AT6" i="5"/>
  <c r="AT7" i="5" s="1"/>
  <c r="AV5" i="5" l="1"/>
  <c r="AU6" i="5"/>
  <c r="AU7" i="5" s="1"/>
  <c r="N32" i="13"/>
  <c r="M31" i="13"/>
  <c r="BC8" i="5"/>
  <c r="BC9" i="5" s="1"/>
  <c r="BC10" i="5" s="1"/>
  <c r="BB9" i="5"/>
  <c r="BB10" i="5" s="1"/>
  <c r="M32" i="13" l="1"/>
  <c r="N33" i="13"/>
  <c r="AW5" i="5"/>
  <c r="AV6" i="5"/>
  <c r="AV7" i="5" s="1"/>
  <c r="AX5" i="5" l="1"/>
  <c r="AW6" i="5"/>
  <c r="AW7" i="5" s="1"/>
  <c r="M33" i="13"/>
  <c r="N34" i="13"/>
  <c r="N35" i="13" l="1"/>
  <c r="M34" i="13"/>
  <c r="AY5" i="5"/>
  <c r="AX6" i="5"/>
  <c r="AX7" i="5" s="1"/>
  <c r="M35" i="13" l="1"/>
  <c r="N36" i="13"/>
  <c r="AY6" i="5"/>
  <c r="AY7" i="5" s="1"/>
  <c r="AZ5" i="5"/>
  <c r="M36" i="13" l="1"/>
  <c r="N37" i="13"/>
  <c r="AZ6" i="5"/>
  <c r="AZ7" i="5" s="1"/>
  <c r="BA5" i="5"/>
  <c r="BA6" i="5" l="1"/>
  <c r="BA7" i="5" s="1"/>
  <c r="BB5" i="5"/>
  <c r="N38" i="13"/>
  <c r="M37" i="13"/>
  <c r="N39" i="13" l="1"/>
  <c r="M38" i="13"/>
  <c r="BC5" i="5"/>
  <c r="BC6" i="5" s="1"/>
  <c r="BC7" i="5" s="1"/>
  <c r="BB6" i="5"/>
  <c r="BB7" i="5" s="1"/>
  <c r="N40" i="13" l="1"/>
  <c r="M39" i="13"/>
  <c r="N41" i="13" l="1"/>
  <c r="M40" i="13"/>
  <c r="M41" i="13" l="1"/>
  <c r="N42" i="13"/>
  <c r="M42" i="13" l="1"/>
  <c r="N43" i="13"/>
  <c r="M43" i="13" l="1"/>
  <c r="N44" i="13"/>
  <c r="N45" i="13" l="1"/>
  <c r="M44" i="13"/>
  <c r="M45" i="13" l="1"/>
  <c r="N46" i="13"/>
  <c r="N47" i="13" l="1"/>
  <c r="M47" i="13" s="1"/>
  <c r="M46" i="13"/>
  <c r="H3" i="15" l="1"/>
  <c r="H4" i="15" l="1"/>
  <c r="H5" i="15" s="1"/>
  <c r="H6" i="15" s="1"/>
  <c r="H7" i="15" s="1"/>
  <c r="H8" i="15" s="1"/>
  <c r="H9" i="15" s="1"/>
  <c r="H10" i="15" s="1"/>
  <c r="H11" i="15" s="1"/>
  <c r="H12" i="15" s="1"/>
  <c r="H13" i="15" s="1"/>
</calcChain>
</file>

<file path=xl/sharedStrings.xml><?xml version="1.0" encoding="utf-8"?>
<sst xmlns="http://schemas.openxmlformats.org/spreadsheetml/2006/main" count="4995" uniqueCount="1979">
  <si>
    <t>Item</t>
  </si>
  <si>
    <t>Class</t>
  </si>
  <si>
    <t>Range</t>
  </si>
  <si>
    <t>Use</t>
  </si>
  <si>
    <t>PS Req.</t>
  </si>
  <si>
    <t>MD Req.</t>
  </si>
  <si>
    <t>Base Dam.</t>
  </si>
  <si>
    <t>Max Rank</t>
  </si>
  <si>
    <t>Battle Axe</t>
  </si>
  <si>
    <t>B</t>
  </si>
  <si>
    <t>RM</t>
  </si>
  <si>
    <t>Blowgun</t>
  </si>
  <si>
    <t>R</t>
  </si>
  <si>
    <t>Bola</t>
  </si>
  <si>
    <t>RC</t>
  </si>
  <si>
    <t>Boomerang</t>
  </si>
  <si>
    <t>C</t>
  </si>
  <si>
    <t>Broadsword</t>
  </si>
  <si>
    <t>M</t>
  </si>
  <si>
    <t>Cestus</t>
  </si>
  <si>
    <t>MC</t>
  </si>
  <si>
    <t>Claymore</t>
  </si>
  <si>
    <t>Composite Bow</t>
  </si>
  <si>
    <t>A</t>
  </si>
  <si>
    <t>Crossbow</t>
  </si>
  <si>
    <t>Crude Club</t>
  </si>
  <si>
    <t>Dagger</t>
  </si>
  <si>
    <t>RMC</t>
  </si>
  <si>
    <t>Estoc</t>
  </si>
  <si>
    <t>Falchion</t>
  </si>
  <si>
    <t>Flail</t>
  </si>
  <si>
    <t>Garotte</t>
  </si>
  <si>
    <t>Giant Axe</t>
  </si>
  <si>
    <t>Giant Bow</t>
  </si>
  <si>
    <t>Giant Club</t>
  </si>
  <si>
    <t>Giant Glaive</t>
  </si>
  <si>
    <t>Giant Mace</t>
  </si>
  <si>
    <t>Giant Spear</t>
  </si>
  <si>
    <t>Glaive</t>
  </si>
  <si>
    <t>Great Axe</t>
  </si>
  <si>
    <t>Grenado</t>
  </si>
  <si>
    <t>Halberd</t>
  </si>
  <si>
    <t>Hand &amp; a Half</t>
  </si>
  <si>
    <t>Hand Axe</t>
  </si>
  <si>
    <t>Heavy Crossbow</t>
  </si>
  <si>
    <t>Javelin</t>
  </si>
  <si>
    <t>Lance</t>
  </si>
  <si>
    <t>Lasso</t>
  </si>
  <si>
    <t>Long Bow</t>
  </si>
  <si>
    <t>Mace</t>
  </si>
  <si>
    <t>Main-Gauche</t>
  </si>
  <si>
    <t>Mattock</t>
  </si>
  <si>
    <t>Morning Star</t>
  </si>
  <si>
    <t>Net</t>
  </si>
  <si>
    <t>Pike</t>
  </si>
  <si>
    <t>Poleaxe</t>
  </si>
  <si>
    <t>Quarterstaff</t>
  </si>
  <si>
    <t>Rapier</t>
  </si>
  <si>
    <t>Rock</t>
  </si>
  <si>
    <t>Sabre</t>
  </si>
  <si>
    <t>Sap</t>
  </si>
  <si>
    <t>Scimitar</t>
  </si>
  <si>
    <t>Self Bow</t>
  </si>
  <si>
    <t>Shield</t>
  </si>
  <si>
    <t>Short Bow</t>
  </si>
  <si>
    <t>Short Sword</t>
  </si>
  <si>
    <t>Sling</t>
  </si>
  <si>
    <t>Spear</t>
  </si>
  <si>
    <t>Spear Thrower</t>
  </si>
  <si>
    <t>Throwing Dart</t>
  </si>
  <si>
    <t>Torch</t>
  </si>
  <si>
    <t>Trident</t>
  </si>
  <si>
    <t>Tulwar</t>
  </si>
  <si>
    <t>Two-Handed Sword</t>
  </si>
  <si>
    <t>Unarmed</t>
  </si>
  <si>
    <t>War Club</t>
  </si>
  <si>
    <t>War Hammer</t>
  </si>
  <si>
    <t>War Pick</t>
  </si>
  <si>
    <t>Whip</t>
  </si>
  <si>
    <t>Adv. Shinobi-jutsu</t>
  </si>
  <si>
    <t>Iajutsu</t>
  </si>
  <si>
    <t>*</t>
  </si>
  <si>
    <t>Nito Kenjutsu</t>
  </si>
  <si>
    <t>Shinobi-jutsu</t>
  </si>
  <si>
    <t>Yadomejutsu</t>
  </si>
  <si>
    <t>Bo</t>
  </si>
  <si>
    <t>Hanbo</t>
  </si>
  <si>
    <t>Katana</t>
  </si>
  <si>
    <t>Kataran</t>
  </si>
  <si>
    <t>Kodachi</t>
  </si>
  <si>
    <t>Manriki-kusari</t>
  </si>
  <si>
    <t>Naginata</t>
  </si>
  <si>
    <t>Ninjato</t>
  </si>
  <si>
    <t>No-Daichi</t>
  </si>
  <si>
    <t>Nunchaku</t>
  </si>
  <si>
    <t>Sai</t>
  </si>
  <si>
    <t>A/C</t>
  </si>
  <si>
    <t>Shuriken</t>
  </si>
  <si>
    <t>Tanto</t>
  </si>
  <si>
    <t>Tetsubishi</t>
  </si>
  <si>
    <t>Tetsubo</t>
  </si>
  <si>
    <t>Tonfa</t>
  </si>
  <si>
    <t>Wakazashi</t>
  </si>
  <si>
    <t>War Fan</t>
  </si>
  <si>
    <t>Yari</t>
  </si>
  <si>
    <t>Hankyu</t>
  </si>
  <si>
    <t>Daikyu</t>
  </si>
  <si>
    <t>Katana (Old)</t>
  </si>
  <si>
    <t>BC</t>
  </si>
  <si>
    <t>PS</t>
  </si>
  <si>
    <t>MD</t>
  </si>
  <si>
    <t>AG</t>
  </si>
  <si>
    <t>MA</t>
  </si>
  <si>
    <t>WP</t>
  </si>
  <si>
    <t>EN</t>
  </si>
  <si>
    <t>Base</t>
  </si>
  <si>
    <t>Effective</t>
  </si>
  <si>
    <t>1x</t>
  </si>
  <si>
    <t>2x</t>
  </si>
  <si>
    <t>3x</t>
  </si>
  <si>
    <t>4x</t>
  </si>
  <si>
    <t>MR</t>
  </si>
  <si>
    <t>PC</t>
  </si>
  <si>
    <t>TMR</t>
  </si>
  <si>
    <t>FT</t>
  </si>
  <si>
    <t>Magic</t>
  </si>
  <si>
    <t>Greater Enchantment</t>
  </si>
  <si>
    <t>PB</t>
  </si>
  <si>
    <t>Combat</t>
  </si>
  <si>
    <t>IV</t>
  </si>
  <si>
    <t>SC</t>
  </si>
  <si>
    <t>Character</t>
  </si>
  <si>
    <t>Race</t>
  </si>
  <si>
    <t>College</t>
  </si>
  <si>
    <t>Human</t>
  </si>
  <si>
    <t>TMR Table</t>
  </si>
  <si>
    <t>Strength, Encumbrance, Agility Modifier Table</t>
  </si>
  <si>
    <t>Melee Only</t>
  </si>
  <si>
    <t>Close Only</t>
  </si>
  <si>
    <t>Ranged Only</t>
  </si>
  <si>
    <t>Always On</t>
  </si>
  <si>
    <t>Racial Mods</t>
  </si>
  <si>
    <t>Modifiers</t>
  </si>
  <si>
    <t>Mark with 'Y' to activate</t>
  </si>
  <si>
    <t>SC%</t>
  </si>
  <si>
    <t>lbs</t>
  </si>
  <si>
    <t>Encum.</t>
  </si>
  <si>
    <t>Character Statistics</t>
  </si>
  <si>
    <t>Skill</t>
  </si>
  <si>
    <t>Rk</t>
  </si>
  <si>
    <t>BC%</t>
  </si>
  <si>
    <t>Horsemanship</t>
  </si>
  <si>
    <t>Swimming</t>
  </si>
  <si>
    <t>Stealth</t>
  </si>
  <si>
    <t>Climbing</t>
  </si>
  <si>
    <t>Flying</t>
  </si>
  <si>
    <t>Ability / Notes</t>
  </si>
  <si>
    <t>Skills</t>
  </si>
  <si>
    <t>Warrior</t>
  </si>
  <si>
    <t>Ranger</t>
  </si>
  <si>
    <t>Courtier</t>
  </si>
  <si>
    <t>Thief</t>
  </si>
  <si>
    <t>Spy</t>
  </si>
  <si>
    <t>Languages</t>
  </si>
  <si>
    <t>Common</t>
  </si>
  <si>
    <t>Elvish</t>
  </si>
  <si>
    <t>Weapon</t>
  </si>
  <si>
    <t>Dam</t>
  </si>
  <si>
    <t>Rng</t>
  </si>
  <si>
    <t>% ±</t>
  </si>
  <si>
    <t>±Dam</t>
  </si>
  <si>
    <t>± Rk</t>
  </si>
  <si>
    <t>Base Weapon</t>
  </si>
  <si>
    <t>Rank</t>
  </si>
  <si>
    <t>Diff</t>
  </si>
  <si>
    <t>Warrior Eff Rk</t>
  </si>
  <si>
    <t>Ranged</t>
  </si>
  <si>
    <t>Close</t>
  </si>
  <si>
    <t>PS/Rk Dam</t>
  </si>
  <si>
    <t>±IV</t>
  </si>
  <si>
    <t>FT Dam</t>
  </si>
  <si>
    <t>EN Dam</t>
  </si>
  <si>
    <t>Unengaged IV</t>
  </si>
  <si>
    <t>Stun Rec %</t>
  </si>
  <si>
    <t>Defence</t>
  </si>
  <si>
    <t>Melee</t>
  </si>
  <si>
    <t>(Shield)</t>
  </si>
  <si>
    <t>(Evade)</t>
  </si>
  <si>
    <t>+20</t>
  </si>
  <si>
    <t>MR%</t>
  </si>
  <si>
    <t>Current Bonuses</t>
  </si>
  <si>
    <t>Evade+</t>
  </si>
  <si>
    <t>Sex</t>
  </si>
  <si>
    <t>Hand</t>
  </si>
  <si>
    <t>Height</t>
  </si>
  <si>
    <t>Weight</t>
  </si>
  <si>
    <t>Aspects</t>
  </si>
  <si>
    <t>Social Status</t>
  </si>
  <si>
    <t>Birth</t>
  </si>
  <si>
    <t>Weapon Category</t>
  </si>
  <si>
    <t>Def</t>
  </si>
  <si>
    <t>Eff Rk</t>
  </si>
  <si>
    <t>Weapons</t>
  </si>
  <si>
    <t>1. Shortswords</t>
  </si>
  <si>
    <t>Short sword</t>
  </si>
  <si>
    <t>2. Single Edged</t>
  </si>
  <si>
    <t>3. Double Edged</t>
  </si>
  <si>
    <t>4. A Class Swords</t>
  </si>
  <si>
    <t>5. Oriental Swords</t>
  </si>
  <si>
    <t>6. Axes</t>
  </si>
  <si>
    <t>7. Blunt</t>
  </si>
  <si>
    <t>8. Entangling/Chain</t>
  </si>
  <si>
    <t>Manriki-Kusari</t>
  </si>
  <si>
    <t>9. A Class Pole</t>
  </si>
  <si>
    <t>10. B Class Pole</t>
  </si>
  <si>
    <t>11. Unarmed</t>
  </si>
  <si>
    <t>12. Shield</t>
  </si>
  <si>
    <t>Not Warrior</t>
  </si>
  <si>
    <t>Shields</t>
  </si>
  <si>
    <t>Base Def</t>
  </si>
  <si>
    <t>Buckler</t>
  </si>
  <si>
    <t>Small Round</t>
  </si>
  <si>
    <t>Large Round</t>
  </si>
  <si>
    <t>Kite</t>
  </si>
  <si>
    <t>Tower</t>
  </si>
  <si>
    <t>Def/Rk</t>
  </si>
  <si>
    <t>Mil Sci</t>
  </si>
  <si>
    <t>Dmg to -1:</t>
  </si>
  <si>
    <t>.. to kill</t>
  </si>
  <si>
    <t>Die At</t>
  </si>
  <si>
    <t>Dmg to Stun:</t>
  </si>
  <si>
    <t>%</t>
  </si>
  <si>
    <t>Duration</t>
  </si>
  <si>
    <t>EM</t>
  </si>
  <si>
    <t>Effect</t>
  </si>
  <si>
    <t>Time Multiple (Days)</t>
  </si>
  <si>
    <t>Base Chance</t>
  </si>
  <si>
    <t>EP % Discount</t>
  </si>
  <si>
    <t>SP Cost</t>
  </si>
  <si>
    <t>T1</t>
  </si>
  <si>
    <t>Immediate</t>
  </si>
  <si>
    <t>G1</t>
  </si>
  <si>
    <t>G2</t>
  </si>
  <si>
    <t>G3</t>
  </si>
  <si>
    <t>Conc. No Max</t>
  </si>
  <si>
    <t>G4</t>
  </si>
  <si>
    <t>G5</t>
  </si>
  <si>
    <t>G6</t>
  </si>
  <si>
    <t>G7</t>
  </si>
  <si>
    <t>G8</t>
  </si>
  <si>
    <t>G9</t>
  </si>
  <si>
    <t>Q1</t>
  </si>
  <si>
    <t>Purification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</si>
  <si>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</si>
  <si>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</si>
  <si>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</si>
  <si>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</si>
  <si>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</si>
  <si>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</si>
  <si>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</si>
  <si>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</si>
  <si>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</si>
  <si>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</si>
  <si>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</si>
  <si>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</si>
  <si>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Dbl</t>
  </si>
  <si>
    <t>Trp</t>
  </si>
  <si>
    <t>Qp</t>
  </si>
  <si>
    <t>Gcs</t>
  </si>
  <si>
    <t>+%/Rk</t>
  </si>
  <si>
    <t>Adventuring Skills</t>
  </si>
  <si>
    <t>Primary Hand:</t>
  </si>
  <si>
    <t>(EN)</t>
  </si>
  <si>
    <t>Aspect:</t>
  </si>
  <si>
    <t>Y</t>
  </si>
  <si>
    <t>Party Buffs</t>
  </si>
  <si>
    <t>Skirmish, …</t>
  </si>
  <si>
    <t>Instructions</t>
  </si>
  <si>
    <t>NC lbs</t>
  </si>
  <si>
    <t>Encum</t>
  </si>
  <si>
    <t>Non-Combat</t>
  </si>
  <si>
    <t>Encumbrance Chart</t>
  </si>
  <si>
    <t>Loss</t>
  </si>
  <si>
    <t>Un</t>
  </si>
  <si>
    <t>Armour (AP) Ft/En</t>
  </si>
  <si>
    <t>lbs (NC)</t>
  </si>
  <si>
    <t>Wizardsight</t>
  </si>
  <si>
    <t>75/150 Feet</t>
  </si>
  <si>
    <t>Charming</t>
  </si>
  <si>
    <t>Telekinesis</t>
  </si>
  <si>
    <t>Enchanted Sleep</t>
  </si>
  <si>
    <t>Walking Unseen</t>
  </si>
  <si>
    <t>Speaking to Enchanted Creatures</t>
  </si>
  <si>
    <t>Location</t>
  </si>
  <si>
    <t>Mass Charming</t>
  </si>
  <si>
    <t>Invisibility</t>
  </si>
  <si>
    <t>Evil Eye</t>
  </si>
  <si>
    <t>1 Day</t>
  </si>
  <si>
    <t>Q2</t>
  </si>
  <si>
    <t>Q3</t>
  </si>
  <si>
    <t>Q4</t>
  </si>
  <si>
    <t>Creating Crystal of Vision</t>
  </si>
  <si>
    <t>Creating Sleep Dust</t>
  </si>
  <si>
    <t>Manufacturing Poison Dust</t>
  </si>
  <si>
    <t>Ventriloquism</t>
  </si>
  <si>
    <t>Bolt of Energy</t>
  </si>
  <si>
    <t>Opening</t>
  </si>
  <si>
    <t>Enchant Weapon</t>
  </si>
  <si>
    <t>Web of Entanglement</t>
  </si>
  <si>
    <t>Mage Lock</t>
  </si>
  <si>
    <t>Enhancing Enchantment</t>
  </si>
  <si>
    <t>Levitation</t>
  </si>
  <si>
    <t>Enchant Armour</t>
  </si>
  <si>
    <t>Wizards's Eye</t>
  </si>
  <si>
    <t>Slowness</t>
  </si>
  <si>
    <t>Quickness</t>
  </si>
  <si>
    <t>90 Feet</t>
  </si>
  <si>
    <t>Military Scientist</t>
  </si>
  <si>
    <t>Philosopher</t>
  </si>
  <si>
    <t>5x</t>
  </si>
  <si>
    <t>NC:</t>
  </si>
  <si>
    <t>Base (unmodified) Stats</t>
  </si>
  <si>
    <t>E&amp;E General Counterspell</t>
  </si>
  <si>
    <t>E&amp;E Special Counterspell</t>
  </si>
  <si>
    <t>Herbalist</t>
  </si>
  <si>
    <t>Cook</t>
  </si>
  <si>
    <t>Necrogeny</t>
  </si>
  <si>
    <t>W. IV</t>
  </si>
  <si>
    <t>W. SC</t>
  </si>
  <si>
    <t>W. DM</t>
  </si>
  <si>
    <t>XP</t>
  </si>
  <si>
    <t>Time</t>
  </si>
  <si>
    <t>SP</t>
  </si>
  <si>
    <t>Season</t>
  </si>
  <si>
    <t>Days</t>
  </si>
  <si>
    <t>Summer</t>
  </si>
  <si>
    <t>Autumn</t>
  </si>
  <si>
    <t>Winter</t>
  </si>
  <si>
    <t>Spring</t>
  </si>
  <si>
    <t>Available</t>
  </si>
  <si>
    <t>Last Adventure</t>
  </si>
  <si>
    <t>Next Adventure</t>
  </si>
  <si>
    <t>Non-Magic</t>
  </si>
  <si>
    <t>Total</t>
  </si>
  <si>
    <t>Balance</t>
  </si>
  <si>
    <t>Stats</t>
  </si>
  <si>
    <t>From</t>
  </si>
  <si>
    <t>To</t>
  </si>
  <si>
    <t>XP Mod</t>
  </si>
  <si>
    <t>Base XP</t>
  </si>
  <si>
    <t>Max</t>
  </si>
  <si>
    <t>Multiplier</t>
  </si>
  <si>
    <t>Time Mod</t>
  </si>
  <si>
    <t>SP Mod</t>
  </si>
  <si>
    <t>Base Time</t>
  </si>
  <si>
    <t>Base SP</t>
  </si>
  <si>
    <t>a</t>
  </si>
  <si>
    <t>p</t>
  </si>
  <si>
    <t>Other Magic</t>
  </si>
  <si>
    <t>Other Non-Magic</t>
  </si>
  <si>
    <t>EN Recovery</t>
  </si>
  <si>
    <t>Names</t>
  </si>
  <si>
    <r>
      <t>a</t>
    </r>
    <r>
      <rPr>
        <sz val="9"/>
        <rFont val="Arial"/>
        <family val="2"/>
      </rPr>
      <t>m/</t>
    </r>
    <r>
      <rPr>
        <b/>
        <sz val="9"/>
        <rFont val="Arial"/>
        <family val="2"/>
      </rPr>
      <t>p</t>
    </r>
    <r>
      <rPr>
        <sz val="9"/>
        <rFont val="Arial"/>
        <family val="2"/>
      </rPr>
      <t>m</t>
    </r>
  </si>
  <si>
    <t>Weapon XP Costs</t>
  </si>
  <si>
    <t>XP by Rank</t>
  </si>
  <si>
    <t>Assassin</t>
  </si>
  <si>
    <t>Starting Stats</t>
  </si>
  <si>
    <t>Maximum Stats</t>
  </si>
  <si>
    <t>Name</t>
  </si>
  <si>
    <t>G/I</t>
  </si>
  <si>
    <t>Notes</t>
  </si>
  <si>
    <t>I</t>
  </si>
  <si>
    <t>Guild Member</t>
  </si>
  <si>
    <t>G</t>
  </si>
  <si>
    <t>Individual True Names</t>
  </si>
  <si>
    <t>Cod</t>
  </si>
  <si>
    <t>Animal, Aquatic</t>
  </si>
  <si>
    <t>Dolphin</t>
  </si>
  <si>
    <t>Eel</t>
  </si>
  <si>
    <t>Manta Ray</t>
  </si>
  <si>
    <t>Octopus</t>
  </si>
  <si>
    <t>Pirahna</t>
  </si>
  <si>
    <t>Porpoise</t>
  </si>
  <si>
    <t>Salmon</t>
  </si>
  <si>
    <t>Snapper</t>
  </si>
  <si>
    <t>Squid</t>
  </si>
  <si>
    <t>Sting Ray</t>
  </si>
  <si>
    <t>Trout</t>
  </si>
  <si>
    <t>Turtle</t>
  </si>
  <si>
    <t>Alligator</t>
  </si>
  <si>
    <t>Animal, Land</t>
  </si>
  <si>
    <t>Amoeba</t>
  </si>
  <si>
    <t>Antelope</t>
  </si>
  <si>
    <t>Baboon</t>
  </si>
  <si>
    <t>Bear</t>
  </si>
  <si>
    <t>Beaver</t>
  </si>
  <si>
    <t>Boar</t>
  </si>
  <si>
    <t>Buffalo</t>
  </si>
  <si>
    <t>Cat</t>
  </si>
  <si>
    <t>Cheetah</t>
  </si>
  <si>
    <t>Cow</t>
  </si>
  <si>
    <t>Deer</t>
  </si>
  <si>
    <t>Dingo</t>
  </si>
  <si>
    <t>Dog</t>
  </si>
  <si>
    <t>Elephant</t>
  </si>
  <si>
    <t>Ferret</t>
  </si>
  <si>
    <t>Fox</t>
  </si>
  <si>
    <t>Giraffe</t>
  </si>
  <si>
    <t>Goat</t>
  </si>
  <si>
    <t>Gorilla</t>
  </si>
  <si>
    <t>Hare</t>
  </si>
  <si>
    <t>Iguana</t>
  </si>
  <si>
    <t>Leopard</t>
  </si>
  <si>
    <t>Lion</t>
  </si>
  <si>
    <t>Lizard</t>
  </si>
  <si>
    <t>Mongoose</t>
  </si>
  <si>
    <t>Monkey</t>
  </si>
  <si>
    <t>Mountain Fox</t>
  </si>
  <si>
    <t>Mouse</t>
  </si>
  <si>
    <t>Ox</t>
  </si>
  <si>
    <t>Pig</t>
  </si>
  <si>
    <t>Praire Dog</t>
  </si>
  <si>
    <t>Rabbit</t>
  </si>
  <si>
    <t>Raccoon</t>
  </si>
  <si>
    <t>Rat</t>
  </si>
  <si>
    <t>Sabre-tooth Tiger</t>
  </si>
  <si>
    <t>Scorpion</t>
  </si>
  <si>
    <t>Sheep</t>
  </si>
  <si>
    <t>Tortoise</t>
  </si>
  <si>
    <t>Weasel</t>
  </si>
  <si>
    <t>Wild Cat</t>
  </si>
  <si>
    <t>Wolf</t>
  </si>
  <si>
    <t>Zebra</t>
  </si>
  <si>
    <t>Albatross</t>
  </si>
  <si>
    <t>Avians</t>
  </si>
  <si>
    <t>Bat</t>
  </si>
  <si>
    <t>Blackbird</t>
  </si>
  <si>
    <t>Buzzard</t>
  </si>
  <si>
    <t>Chicken</t>
  </si>
  <si>
    <t>Cormorant</t>
  </si>
  <si>
    <t>Dove</t>
  </si>
  <si>
    <t>Duck</t>
  </si>
  <si>
    <t>Eagle</t>
  </si>
  <si>
    <t>Falcon</t>
  </si>
  <si>
    <t>Finch</t>
  </si>
  <si>
    <t>Gannet</t>
  </si>
  <si>
    <t>Goose</t>
  </si>
  <si>
    <t>Goshawk</t>
  </si>
  <si>
    <t>Owl</t>
  </si>
  <si>
    <t>Parrot</t>
  </si>
  <si>
    <t>Roc</t>
  </si>
  <si>
    <t>Seagull</t>
  </si>
  <si>
    <t>Sparrow</t>
  </si>
  <si>
    <t>Swan</t>
  </si>
  <si>
    <t>Tern</t>
  </si>
  <si>
    <t>Vulture</t>
  </si>
  <si>
    <t>Demonic, Duke</t>
  </si>
  <si>
    <t>Demonic</t>
  </si>
  <si>
    <t>Demonic, Earl</t>
  </si>
  <si>
    <t>Demonic, King</t>
  </si>
  <si>
    <t>Demonic, Maquis</t>
  </si>
  <si>
    <t>Demonic, President</t>
  </si>
  <si>
    <t>Demonic, Prince</t>
  </si>
  <si>
    <t>Devil</t>
  </si>
  <si>
    <t>Devil, Half</t>
  </si>
  <si>
    <t>Hellhound</t>
  </si>
  <si>
    <t>Imp</t>
  </si>
  <si>
    <t>Incubus</t>
  </si>
  <si>
    <t>Succubus</t>
  </si>
  <si>
    <t>Dragon, Black</t>
  </si>
  <si>
    <t>Draconic</t>
  </si>
  <si>
    <t>Dragon, Gold</t>
  </si>
  <si>
    <t>Dragon, Green</t>
  </si>
  <si>
    <t>Dragon, Red</t>
  </si>
  <si>
    <t>Camel</t>
  </si>
  <si>
    <t>Equines</t>
  </si>
  <si>
    <t>Donkey</t>
  </si>
  <si>
    <t>Horse</t>
  </si>
  <si>
    <t>Mule</t>
  </si>
  <si>
    <t>Palfrey</t>
  </si>
  <si>
    <t>Basilisk</t>
  </si>
  <si>
    <t>Fantastical</t>
  </si>
  <si>
    <t>Centaur</t>
  </si>
  <si>
    <t>Dire Wolf</t>
  </si>
  <si>
    <t>Dryad</t>
  </si>
  <si>
    <t>Gargoyle</t>
  </si>
  <si>
    <t>Gorgon</t>
  </si>
  <si>
    <t>Gryphon</t>
  </si>
  <si>
    <t>Harpy</t>
  </si>
  <si>
    <t>Hippogriff</t>
  </si>
  <si>
    <t>Hydra</t>
  </si>
  <si>
    <t>Kraken</t>
  </si>
  <si>
    <t>Manticore</t>
  </si>
  <si>
    <t>Minotaur</t>
  </si>
  <si>
    <t>Naga</t>
  </si>
  <si>
    <t>Nixie</t>
  </si>
  <si>
    <t>Nymph</t>
  </si>
  <si>
    <t>Pegasus</t>
  </si>
  <si>
    <t>Salamander</t>
  </si>
  <si>
    <t>Satyr</t>
  </si>
  <si>
    <t>Spitting Naja</t>
  </si>
  <si>
    <t>Unicorn</t>
  </si>
  <si>
    <t>Wyvern</t>
  </si>
  <si>
    <t>Brownie</t>
  </si>
  <si>
    <t>Humanoids</t>
  </si>
  <si>
    <t>Drow</t>
  </si>
  <si>
    <t>Dwarf</t>
  </si>
  <si>
    <t>Elf</t>
  </si>
  <si>
    <t>Erelheine</t>
  </si>
  <si>
    <t>Giant, Cloud</t>
  </si>
  <si>
    <t>Giant, Fire</t>
  </si>
  <si>
    <t>Giant, Frost</t>
  </si>
  <si>
    <t>Giant, Hill</t>
  </si>
  <si>
    <t>Giant, Stone</t>
  </si>
  <si>
    <t>Gnoll</t>
  </si>
  <si>
    <t>Gnome</t>
  </si>
  <si>
    <t>Goblin</t>
  </si>
  <si>
    <t>Halfling</t>
  </si>
  <si>
    <t>Hobgoblin</t>
  </si>
  <si>
    <t>Kobold</t>
  </si>
  <si>
    <t>Leprechaun</t>
  </si>
  <si>
    <t>Lizard Man</t>
  </si>
  <si>
    <t>Neanderthal</t>
  </si>
  <si>
    <t>Ogre</t>
  </si>
  <si>
    <t>Orc</t>
  </si>
  <si>
    <t>Saurime</t>
  </si>
  <si>
    <t>Shape Changer</t>
  </si>
  <si>
    <t>Troll</t>
  </si>
  <si>
    <t>Ant</t>
  </si>
  <si>
    <t>Insects</t>
  </si>
  <si>
    <t>Bee</t>
  </si>
  <si>
    <t>Beetle</t>
  </si>
  <si>
    <t>Black Widow</t>
  </si>
  <si>
    <t>Fire Ant</t>
  </si>
  <si>
    <t>Housefly</t>
  </si>
  <si>
    <t>Killer Bee</t>
  </si>
  <si>
    <t>Spider</t>
  </si>
  <si>
    <t>Spider, Phase</t>
  </si>
  <si>
    <t>Spider, Trapdoor</t>
  </si>
  <si>
    <t>Tarantula</t>
  </si>
  <si>
    <t>Efreeti</t>
  </si>
  <si>
    <t>Magical</t>
  </si>
  <si>
    <t>Elemental, Air</t>
  </si>
  <si>
    <t>Elemental, Earth</t>
  </si>
  <si>
    <t>Elemental, Fire</t>
  </si>
  <si>
    <t>Elemental, Water</t>
  </si>
  <si>
    <t>Golem, Clay</t>
  </si>
  <si>
    <t>Golem, Flesh</t>
  </si>
  <si>
    <t>Golem, Iron</t>
  </si>
  <si>
    <t>Golem, Rag &amp; String</t>
  </si>
  <si>
    <t>Golem, Stone</t>
  </si>
  <si>
    <t>Golem, Wood</t>
  </si>
  <si>
    <t>Adder</t>
  </si>
  <si>
    <t>Snakes</t>
  </si>
  <si>
    <t>Asp</t>
  </si>
  <si>
    <t>Cobra</t>
  </si>
  <si>
    <t>King Cobra</t>
  </si>
  <si>
    <t>Mamba</t>
  </si>
  <si>
    <t>Python</t>
  </si>
  <si>
    <t>Rattle Snake</t>
  </si>
  <si>
    <t>Ash</t>
  </si>
  <si>
    <t>Trees/Plants</t>
  </si>
  <si>
    <t>Beech</t>
  </si>
  <si>
    <t>Cactus</t>
  </si>
  <si>
    <t>Date Tree</t>
  </si>
  <si>
    <t>Elm</t>
  </si>
  <si>
    <t>Grains</t>
  </si>
  <si>
    <t>Grass</t>
  </si>
  <si>
    <t>Mistletoe</t>
  </si>
  <si>
    <t>Oak</t>
  </si>
  <si>
    <t>Olive Tree</t>
  </si>
  <si>
    <t>Pine</t>
  </si>
  <si>
    <t>Willow</t>
  </si>
  <si>
    <t>Yew</t>
  </si>
  <si>
    <t>Ghost</t>
  </si>
  <si>
    <t>Undead</t>
  </si>
  <si>
    <t>Ghoul</t>
  </si>
  <si>
    <t>Mummy</t>
  </si>
  <si>
    <t>Night-Gaunt</t>
  </si>
  <si>
    <t>Skeleton</t>
  </si>
  <si>
    <t>Zombie</t>
  </si>
  <si>
    <t>Spectre</t>
  </si>
  <si>
    <t>Undead, Greater</t>
  </si>
  <si>
    <t>Vampire</t>
  </si>
  <si>
    <t>Wight</t>
  </si>
  <si>
    <t>Wraith</t>
  </si>
  <si>
    <t>Days Adventuring</t>
  </si>
  <si>
    <t>Mod +/- days</t>
  </si>
  <si>
    <t>Selected abilities?</t>
  </si>
  <si>
    <t>Specialised in ?</t>
  </si>
  <si>
    <t>Dwarvish</t>
  </si>
  <si>
    <t>Healer</t>
  </si>
  <si>
    <t>Realms/Fields/…</t>
  </si>
  <si>
    <t>Alchemist</t>
  </si>
  <si>
    <t>Armourer</t>
  </si>
  <si>
    <t>Selected categories?</t>
  </si>
  <si>
    <t>Astrologer</t>
  </si>
  <si>
    <t>Beastmaster</t>
  </si>
  <si>
    <t>Selected Animal Types?</t>
  </si>
  <si>
    <t>Mechanician</t>
  </si>
  <si>
    <t>Merchant</t>
  </si>
  <si>
    <t>Navigator</t>
  </si>
  <si>
    <t>Weaponsmith</t>
  </si>
  <si>
    <t>Blacksmith</t>
  </si>
  <si>
    <t>Seamanship</t>
  </si>
  <si>
    <t>Artisan ?</t>
  </si>
  <si>
    <t>Hands</t>
  </si>
  <si>
    <t>1-2</t>
  </si>
  <si>
    <t>2</t>
  </si>
  <si>
    <t>Detect Aura</t>
  </si>
  <si>
    <t>-1 per foot</t>
  </si>
  <si>
    <t>T2</t>
  </si>
  <si>
    <t>Expel Magic</t>
  </si>
  <si>
    <t>Dissipation</t>
  </si>
  <si>
    <t>Bane</t>
  </si>
  <si>
    <t>Banishment</t>
  </si>
  <si>
    <t>Self</t>
  </si>
  <si>
    <t>Compel Obedience</t>
  </si>
  <si>
    <t>Disjunction</t>
  </si>
  <si>
    <t>Dispel Magic</t>
  </si>
  <si>
    <t>Forbidding</t>
  </si>
  <si>
    <t>Mana Sense</t>
  </si>
  <si>
    <t>Scry Shield</t>
  </si>
  <si>
    <t>Spell Barrier</t>
  </si>
  <si>
    <t>True Seeing</t>
  </si>
  <si>
    <t>R1</t>
  </si>
  <si>
    <t>Divination</t>
  </si>
  <si>
    <t>R2</t>
  </si>
  <si>
    <t>Expulsion</t>
  </si>
  <si>
    <t>R3</t>
  </si>
  <si>
    <t>Interregnum</t>
  </si>
  <si>
    <t>10 Feet</t>
  </si>
  <si>
    <t>R4</t>
  </si>
  <si>
    <t>Remove Curse</t>
  </si>
  <si>
    <t>R5</t>
  </si>
  <si>
    <t>Sealing</t>
  </si>
  <si>
    <t>R6</t>
  </si>
  <si>
    <t>True Form</t>
  </si>
  <si>
    <t>5 Feet</t>
  </si>
  <si>
    <t>R7</t>
  </si>
  <si>
    <t>True Speaking</t>
  </si>
  <si>
    <t>30 Mins</t>
  </si>
  <si>
    <t>Air General Counterspell</t>
  </si>
  <si>
    <t>Air Special Counterspell</t>
  </si>
  <si>
    <t>Bardic General Counterspell</t>
  </si>
  <si>
    <t>Bardic Special Counterspell</t>
  </si>
  <si>
    <t>Binder General Counterspell</t>
  </si>
  <si>
    <t>Binder Special Counterspell</t>
  </si>
  <si>
    <t>Celestial General Counterspell</t>
  </si>
  <si>
    <t>Celestial Special Counterspell</t>
  </si>
  <si>
    <t>Earth General Counterspell</t>
  </si>
  <si>
    <t>Earth Special Counterspell</t>
  </si>
  <si>
    <t>Fire General Counterspell</t>
  </si>
  <si>
    <t>Fire Special Counterspell</t>
  </si>
  <si>
    <t>G Summoner General Counterspell</t>
  </si>
  <si>
    <t>G Summoner Special Counterspell</t>
  </si>
  <si>
    <t>Ice General Counterspell</t>
  </si>
  <si>
    <t>Ice Special Counterspell</t>
  </si>
  <si>
    <t>Illusion General Counterspell</t>
  </si>
  <si>
    <t>Illusion Special Counterspell</t>
  </si>
  <si>
    <t>Mind General Counterspell</t>
  </si>
  <si>
    <t>Mind Special Counterspell</t>
  </si>
  <si>
    <t>Namer General Counterspell</t>
  </si>
  <si>
    <t>Namer Special Counterspell</t>
  </si>
  <si>
    <t>Necro General Counterspell</t>
  </si>
  <si>
    <t>Necro Special Counterspell</t>
  </si>
  <si>
    <t>Rune General Counterspell</t>
  </si>
  <si>
    <t>Rune Special Counterspell</t>
  </si>
  <si>
    <t>Water General Counterspell</t>
  </si>
  <si>
    <t>Water Special Counterspell</t>
  </si>
  <si>
    <t>Wicca General Counterspell</t>
  </si>
  <si>
    <t>Wicca Special Counterspell</t>
  </si>
  <si>
    <t>Infravision</t>
  </si>
  <si>
    <t>-1%/10'  Detect Temp, Type, Magic?</t>
  </si>
  <si>
    <t>Pyrogenesis</t>
  </si>
  <si>
    <t>-1% per 5 Feet</t>
  </si>
  <si>
    <t>Bolt of Fire</t>
  </si>
  <si>
    <t>Extinguish Fire</t>
  </si>
  <si>
    <t>Fire Armour</t>
  </si>
  <si>
    <t>Touch</t>
  </si>
  <si>
    <t>Firelight</t>
  </si>
  <si>
    <t>Fireproofing</t>
  </si>
  <si>
    <t>Increase Temperature</t>
  </si>
  <si>
    <t>Slow Fire</t>
  </si>
  <si>
    <t>Extend life of fires/lamps/etc.</t>
  </si>
  <si>
    <t>Smoke Creation</t>
  </si>
  <si>
    <t>Binding Fire</t>
  </si>
  <si>
    <t>Cleansing Flame</t>
  </si>
  <si>
    <t>Dragon Flames</t>
  </si>
  <si>
    <t>Fire Arc</t>
  </si>
  <si>
    <t>Fire Ball</t>
  </si>
  <si>
    <t>Heat Shield</t>
  </si>
  <si>
    <t>Hell Fire</t>
  </si>
  <si>
    <t>Immolation</t>
  </si>
  <si>
    <t>Malignant Flames</t>
  </si>
  <si>
    <t>Pyrotechnics</t>
  </si>
  <si>
    <t>Speak to Fire Creatures</t>
  </si>
  <si>
    <t>Summon Salamander</t>
  </si>
  <si>
    <t>Indefinite</t>
  </si>
  <si>
    <t>Weapon of Flames</t>
  </si>
  <si>
    <t>S13</t>
  </si>
  <si>
    <t>Wall of Fire</t>
  </si>
  <si>
    <t>S14</t>
  </si>
  <si>
    <t>Wildfires</t>
  </si>
  <si>
    <t>Create Drought</t>
  </si>
  <si>
    <t>Flame Sight</t>
  </si>
  <si>
    <t>Summon Lesser Efreeti</t>
  </si>
  <si>
    <t>Summon Fire Elemental</t>
  </si>
  <si>
    <t>20 Feet</t>
  </si>
  <si>
    <t>Cold Affinity</t>
  </si>
  <si>
    <t>Endure Hardship</t>
  </si>
  <si>
    <t>Extinguish Fires</t>
  </si>
  <si>
    <t>Freeze</t>
  </si>
  <si>
    <t>Ice Creation</t>
  </si>
  <si>
    <t>Ice Traversal</t>
  </si>
  <si>
    <t>Refrigeration</t>
  </si>
  <si>
    <t>Resist Cold (Ice)</t>
  </si>
  <si>
    <t>Snow Shovel</t>
  </si>
  <si>
    <t>Water to Ice</t>
  </si>
  <si>
    <t>Create Igloo</t>
  </si>
  <si>
    <t>Bind Ice &amp; Snow</t>
  </si>
  <si>
    <t>Armour of Ice</t>
  </si>
  <si>
    <t>Icy Transformation</t>
  </si>
  <si>
    <t>Freezing Wind</t>
  </si>
  <si>
    <t>Frostbite</t>
  </si>
  <si>
    <t>Frozen Doom</t>
  </si>
  <si>
    <t>Hibernation</t>
  </si>
  <si>
    <t>Ice Bolt</t>
  </si>
  <si>
    <t>Ice Construction</t>
  </si>
  <si>
    <t>Iceberg</t>
  </si>
  <si>
    <t>Ice Pack</t>
  </si>
  <si>
    <t>Ice Projectiles</t>
  </si>
  <si>
    <t>Ray of Cold</t>
  </si>
  <si>
    <t>Snowball</t>
  </si>
  <si>
    <t>Snowfall</t>
  </si>
  <si>
    <t>S15</t>
  </si>
  <si>
    <t>Wall of Ice</t>
  </si>
  <si>
    <t>S16</t>
  </si>
  <si>
    <t>Weapon of Cold</t>
  </si>
  <si>
    <t>S17</t>
  </si>
  <si>
    <t>Winter Garden</t>
  </si>
  <si>
    <t>Snow Simulacrum</t>
  </si>
  <si>
    <t>Summon &amp; Control Ice Elemental</t>
  </si>
  <si>
    <t>Ritual of Winter</t>
  </si>
  <si>
    <t>Aerial Affinity</t>
  </si>
  <si>
    <t>Detect Fumes</t>
  </si>
  <si>
    <t>T3</t>
  </si>
  <si>
    <t>Predict Weather</t>
  </si>
  <si>
    <t>Local</t>
  </si>
  <si>
    <t>Calm</t>
  </si>
  <si>
    <t>Feather Falling</t>
  </si>
  <si>
    <t>Mage Wind</t>
  </si>
  <si>
    <t>Mist</t>
  </si>
  <si>
    <t>Speak to Avians</t>
  </si>
  <si>
    <t>Storm Calling</t>
  </si>
  <si>
    <t>Line of Sight</t>
  </si>
  <si>
    <t>Summon Avians</t>
  </si>
  <si>
    <t>5 Miles</t>
  </si>
  <si>
    <t>Vapour Breathing</t>
  </si>
  <si>
    <t>Wind Whistle</t>
  </si>
  <si>
    <t>Windspeak</t>
  </si>
  <si>
    <t>Air Blast</t>
  </si>
  <si>
    <t>Arrow Flight</t>
  </si>
  <si>
    <t>Avian Control</t>
  </si>
  <si>
    <t>Barrier of Wind</t>
  </si>
  <si>
    <t>Conjuring Air</t>
  </si>
  <si>
    <t>Gaseous Form</t>
  </si>
  <si>
    <t>Gliding</t>
  </si>
  <si>
    <t>Knockout Gas</t>
  </si>
  <si>
    <t>Lightning Bolt</t>
  </si>
  <si>
    <t>60 Feet</t>
  </si>
  <si>
    <t>Lightning Strike</t>
  </si>
  <si>
    <t>Resist Cold (Air)</t>
  </si>
  <si>
    <t>Shaping Cloud</t>
  </si>
  <si>
    <t>Whirlwind Vortex</t>
  </si>
  <si>
    <t>Whispering Wind</t>
  </si>
  <si>
    <t>Windstorm</t>
  </si>
  <si>
    <t>Wind Walking</t>
  </si>
  <si>
    <t>S18</t>
  </si>
  <si>
    <t>Ball of Lightning</t>
  </si>
  <si>
    <t>S19</t>
  </si>
  <si>
    <t>Thunderclap</t>
  </si>
  <si>
    <t>Air Spring</t>
  </si>
  <si>
    <t>Conjuring Air Elemental</t>
  </si>
  <si>
    <t>Control Weather</t>
  </si>
  <si>
    <t>Summon and Bind Cloud</t>
  </si>
  <si>
    <t>Speak to Creatures</t>
  </si>
  <si>
    <t>Night Vision</t>
  </si>
  <si>
    <t>Blending</t>
  </si>
  <si>
    <t>Light</t>
  </si>
  <si>
    <t>Darkness</t>
  </si>
  <si>
    <t>Wall of Starlight</t>
  </si>
  <si>
    <t>Wall of Darkness</t>
  </si>
  <si>
    <t>Witchsight</t>
  </si>
  <si>
    <t>G10</t>
  </si>
  <si>
    <t>General Counterspell</t>
  </si>
  <si>
    <t>G11</t>
  </si>
  <si>
    <t>Special Counterspell</t>
  </si>
  <si>
    <t>Reading the Night Sky</t>
  </si>
  <si>
    <t>Summoning &amp; Binding Creatures</t>
  </si>
  <si>
    <t>Healing</t>
  </si>
  <si>
    <t>Bolt of Starfire</t>
  </si>
  <si>
    <t>Meteorite Shower</t>
  </si>
  <si>
    <t>Wings</t>
  </si>
  <si>
    <t>Fear</t>
  </si>
  <si>
    <t>Increased Gravity</t>
  </si>
  <si>
    <t>Whitefire</t>
  </si>
  <si>
    <t>Geas</t>
  </si>
  <si>
    <t>Curse Removal</t>
  </si>
  <si>
    <t>Investment</t>
  </si>
  <si>
    <t>Ward</t>
  </si>
  <si>
    <t>Trw</t>
  </si>
  <si>
    <t>Witchsight (Elven)</t>
  </si>
  <si>
    <t>Resist Pain</t>
  </si>
  <si>
    <t>Resist Temperature</t>
  </si>
  <si>
    <t>Sensitivity to Danger</t>
  </si>
  <si>
    <t>Control Animal</t>
  </si>
  <si>
    <t>Control Person</t>
  </si>
  <si>
    <t>Target is Slowed</t>
  </si>
  <si>
    <t>Empathy</t>
  </si>
  <si>
    <t>Take 1 FT Dam per 2 EN/FT Healed</t>
  </si>
  <si>
    <t>ESP</t>
  </si>
  <si>
    <t>Hypnotism</t>
  </si>
  <si>
    <t>Limited Precognition</t>
  </si>
  <si>
    <t>Mind Shield</t>
  </si>
  <si>
    <t>General Knowledge Counterspell</t>
  </si>
  <si>
    <t>Special Knowledge Counterspell</t>
  </si>
  <si>
    <t>Binding Will</t>
  </si>
  <si>
    <t>Disruption</t>
  </si>
  <si>
    <t>Force Shield</t>
  </si>
  <si>
    <t>Mental Attack</t>
  </si>
  <si>
    <t>Mind Speech</t>
  </si>
  <si>
    <t>Phantasm</t>
  </si>
  <si>
    <t>Telekinetic Rage</t>
  </si>
  <si>
    <t>[D-5] +1 per foot travelled damage.</t>
  </si>
  <si>
    <t>Telepathy</t>
  </si>
  <si>
    <t>Transmutation</t>
  </si>
  <si>
    <t>Maintain Mass &amp; Aura Level.</t>
  </si>
  <si>
    <t>Rcr</t>
  </si>
  <si>
    <t>Rin</t>
  </si>
  <si>
    <t>Rwd</t>
  </si>
  <si>
    <t>Sge</t>
  </si>
  <si>
    <t>Farsensing</t>
  </si>
  <si>
    <t>Special Alchemy</t>
  </si>
  <si>
    <t>75/150'</t>
  </si>
  <si>
    <t>Damnum Minatum</t>
  </si>
  <si>
    <t>Special</t>
  </si>
  <si>
    <t>Decay</t>
  </si>
  <si>
    <t>Harming Entity</t>
  </si>
  <si>
    <t>15 Feet</t>
  </si>
  <si>
    <t>Igniting Flamables</t>
  </si>
  <si>
    <t>Mind Cloak</t>
  </si>
  <si>
    <t>Protection against Were-Creatures</t>
  </si>
  <si>
    <t>Sight</t>
  </si>
  <si>
    <t>Summoning Enchanted Creatures</t>
  </si>
  <si>
    <t>G12</t>
  </si>
  <si>
    <t>G13</t>
  </si>
  <si>
    <t>G14</t>
  </si>
  <si>
    <t>G15</t>
  </si>
  <si>
    <t>Finding Familiar</t>
  </si>
  <si>
    <t>Tarot Reading</t>
  </si>
  <si>
    <t>-5% per week</t>
  </si>
  <si>
    <t>Divine Enchantment, …</t>
  </si>
  <si>
    <t>Blessing Crops</t>
  </si>
  <si>
    <t>Blessing/Curse on Unborn Child</t>
  </si>
  <si>
    <t>Blessing Livestock</t>
  </si>
  <si>
    <t>Blighting Crops</t>
  </si>
  <si>
    <t>Cat Vision</t>
  </si>
  <si>
    <t>Controlling Animals</t>
  </si>
  <si>
    <t>Converse with Animals</t>
  </si>
  <si>
    <t>Creating Plague</t>
  </si>
  <si>
    <t>Creating Restorative</t>
  </si>
  <si>
    <t>Damnum Magnatum</t>
  </si>
  <si>
    <t>Earth Tremor</t>
  </si>
  <si>
    <t>Hellfire</t>
  </si>
  <si>
    <t>Instilling Flight</t>
  </si>
  <si>
    <t>Mass Fear</t>
  </si>
  <si>
    <t>Pestilence</t>
  </si>
  <si>
    <t>Skin Change</t>
  </si>
  <si>
    <t>Virility</t>
  </si>
  <si>
    <t>Wall of Thorns</t>
  </si>
  <si>
    <t>Controlling Weather</t>
  </si>
  <si>
    <t>Creeping Doom</t>
  </si>
  <si>
    <t>Dead Man's Candle</t>
  </si>
  <si>
    <t>Hand of Glory</t>
  </si>
  <si>
    <t>Summoning Animals</t>
  </si>
  <si>
    <t>Racial/Other Abilities</t>
  </si>
  <si>
    <t>6 / 18 Hours</t>
  </si>
  <si>
    <t>Adventurer</t>
  </si>
  <si>
    <t>3rd</t>
  </si>
  <si>
    <t>Converse with Plants</t>
  </si>
  <si>
    <t>Detecting Traps &amp; Snares</t>
  </si>
  <si>
    <t>Detecting Poisons</t>
  </si>
  <si>
    <t>Lesser Enchantment</t>
  </si>
  <si>
    <t>Herbal Lore</t>
  </si>
  <si>
    <t>Tracking</t>
  </si>
  <si>
    <t>Con. No Max</t>
  </si>
  <si>
    <t>Invisible when not moving</t>
  </si>
  <si>
    <t>Unseen</t>
  </si>
  <si>
    <t>Earth Hammer</t>
  </si>
  <si>
    <t>Hands of Earth</t>
  </si>
  <si>
    <t>Strength of Stone</t>
  </si>
  <si>
    <t>Armour of Earth</t>
  </si>
  <si>
    <t>Diamond Weapon</t>
  </si>
  <si>
    <t>Gem Creation</t>
  </si>
  <si>
    <t>Animal Growth</t>
  </si>
  <si>
    <t>Enchanting Plants</t>
  </si>
  <si>
    <t>Binding Animals</t>
  </si>
  <si>
    <t>Conjuring Earth Elementals</t>
  </si>
  <si>
    <t>Controlling Earth Elementals</t>
  </si>
  <si>
    <t>Sinking Doom</t>
  </si>
  <si>
    <t>Wall of Stone</t>
  </si>
  <si>
    <t>Wall of Iron</t>
  </si>
  <si>
    <t>Tunneling</t>
  </si>
  <si>
    <t>Trollskin</t>
  </si>
  <si>
    <t>Smoking Magma</t>
  </si>
  <si>
    <t>Diamond Javelins</t>
  </si>
  <si>
    <t>Earth Transformation</t>
  </si>
  <si>
    <t>1 Mammal doubles in size.</t>
  </si>
  <si>
    <t>WP Check per week to break free</t>
  </si>
  <si>
    <t>Regenerate 1 EN per pulse.</t>
  </si>
  <si>
    <t>Binding Earth</t>
  </si>
  <si>
    <t>Luck: -1 on Dice Rolls or Curse: +1</t>
  </si>
  <si>
    <t>Predict Weather (Water)</t>
  </si>
  <si>
    <t>Dowsing</t>
  </si>
  <si>
    <t>Aquatic Affinity</t>
  </si>
  <si>
    <t>Buoyancy</t>
  </si>
  <si>
    <t>Cold Resistance</t>
  </si>
  <si>
    <t>Create Fog</t>
  </si>
  <si>
    <t>Mage Current</t>
  </si>
  <si>
    <t>Navigation</t>
  </si>
  <si>
    <t>Rehydration</t>
  </si>
  <si>
    <t>Saturated Earth</t>
  </si>
  <si>
    <t>Ship Strength</t>
  </si>
  <si>
    <t>Speak to Aquatic Life</t>
  </si>
  <si>
    <t>Summon Aquatic Life</t>
  </si>
  <si>
    <t>Water Breathing</t>
  </si>
  <si>
    <t>Water Creation</t>
  </si>
  <si>
    <t>Waterproofing</t>
  </si>
  <si>
    <t>Wave Control</t>
  </si>
  <si>
    <t>Binding Water</t>
  </si>
  <si>
    <t>Control Aquatic Life</t>
  </si>
  <si>
    <t>Dehydration</t>
  </si>
  <si>
    <t>Flash Flood</t>
  </si>
  <si>
    <t>Geyser</t>
  </si>
  <si>
    <t>Liquid Purification</t>
  </si>
  <si>
    <t>Liquid Transmutation</t>
  </si>
  <si>
    <t>Maelstrom</t>
  </si>
  <si>
    <t>Rainstorm</t>
  </si>
  <si>
    <t>Storm Calling (Water)</t>
  </si>
  <si>
    <t>Walk on Water</t>
  </si>
  <si>
    <t>Waters of Healing</t>
  </si>
  <si>
    <t>Waters of Strength</t>
  </si>
  <si>
    <t>Waters of Vision</t>
  </si>
  <si>
    <t>Waterspout</t>
  </si>
  <si>
    <t>Wave Riding</t>
  </si>
  <si>
    <t>Summon Water Elemental</t>
  </si>
  <si>
    <t>Com. 1 form of aquatic life</t>
  </si>
  <si>
    <t>Line of sight</t>
  </si>
  <si>
    <t>10 Secs</t>
  </si>
  <si>
    <t>Shadow Form / Coruscade</t>
  </si>
  <si>
    <t>Celestial Dark / Solar / Shadow / Star (Elemental)</t>
  </si>
  <si>
    <t>G9da</t>
  </si>
  <si>
    <t>Resistance to Light (Solar)</t>
  </si>
  <si>
    <t>G9so</t>
  </si>
  <si>
    <t>G9st</t>
  </si>
  <si>
    <t>Illumination (Star)</t>
  </si>
  <si>
    <t>G9sh</t>
  </si>
  <si>
    <t>Charismatic Aura (Shadow)</t>
  </si>
  <si>
    <t>Strength of Darkness (Dark)</t>
  </si>
  <si>
    <t>Creating Light/Dark Sword</t>
  </si>
  <si>
    <t>Web of Light/Darkness</t>
  </si>
  <si>
    <t>Solar Flare (Solar)</t>
  </si>
  <si>
    <t>Blackfire (Dark)</t>
  </si>
  <si>
    <t>Shadow Walking (Shadow)</t>
  </si>
  <si>
    <t>Falling Star (Star)</t>
  </si>
  <si>
    <t>Light/Dark Sphere</t>
  </si>
  <si>
    <t>Concealed Casting</t>
  </si>
  <si>
    <t>Enhanced Hearing</t>
  </si>
  <si>
    <t>Melodic Memory</t>
  </si>
  <si>
    <t>T4</t>
  </si>
  <si>
    <t>Project Voice</t>
  </si>
  <si>
    <t>Clairaudience</t>
  </si>
  <si>
    <t>Enchant Instrument</t>
  </si>
  <si>
    <t>Ethereal Orchestra</t>
  </si>
  <si>
    <t>Exhortation</t>
  </si>
  <si>
    <t>Quietness</t>
  </si>
  <si>
    <t>Mockery</t>
  </si>
  <si>
    <t>Shatter</t>
  </si>
  <si>
    <t>Silent Sounds</t>
  </si>
  <si>
    <t>Soothe the Savage Beast</t>
  </si>
  <si>
    <t>Speaking Beasts</t>
  </si>
  <si>
    <t>Implanting Sounds</t>
  </si>
  <si>
    <t>Recitation</t>
  </si>
  <si>
    <t>Q</t>
  </si>
  <si>
    <t>Compel Speech</t>
  </si>
  <si>
    <t>Comprehending Tongues</t>
  </si>
  <si>
    <t>Confusion of Tongues</t>
  </si>
  <si>
    <t>Dance of Swords</t>
  </si>
  <si>
    <t>Enthralling Audience</t>
  </si>
  <si>
    <t>Shout of Thunder</t>
  </si>
  <si>
    <t>Inspirational Song</t>
  </si>
  <si>
    <t>Satyr’s Dance</t>
  </si>
  <si>
    <t>Shell of Silence</t>
  </si>
  <si>
    <t>Silver Tongue</t>
  </si>
  <si>
    <t>Siren Song</t>
  </si>
  <si>
    <t>Slumber Song</t>
  </si>
  <si>
    <t>Whispering World</t>
  </si>
  <si>
    <t>Cure Deafness and Muteness</t>
  </si>
  <si>
    <t>Resounding Instrument</t>
  </si>
  <si>
    <t>Sound of Doom</t>
  </si>
  <si>
    <t>The Piper’s Song</t>
  </si>
  <si>
    <t>Add Rk to PC when active</t>
  </si>
  <si>
    <t>-5% / week since heard</t>
  </si>
  <si>
    <t>Binding &amp; Animating (Thaumaturgy)</t>
  </si>
  <si>
    <t>Detect Enchantment</t>
  </si>
  <si>
    <t>Animate Golems</t>
  </si>
  <si>
    <t>Adhesion</t>
  </si>
  <si>
    <t>Animating Objects</t>
  </si>
  <si>
    <t>Bound Speech</t>
  </si>
  <si>
    <t>Durability</t>
  </si>
  <si>
    <t>Mending</t>
  </si>
  <si>
    <t>Modify Aura</t>
  </si>
  <si>
    <t>Minor Creation</t>
  </si>
  <si>
    <t>Moulding Elements</t>
  </si>
  <si>
    <t>Preservation</t>
  </si>
  <si>
    <t>Transparency</t>
  </si>
  <si>
    <t>Linking Lifeforces</t>
  </si>
  <si>
    <t>Petrifaction</t>
  </si>
  <si>
    <t>Shaping Clay Golems</t>
  </si>
  <si>
    <t>Shaping Rag &amp; String Golems</t>
  </si>
  <si>
    <t>Bubble of Force</t>
  </si>
  <si>
    <t>Frictionless Floor</t>
  </si>
  <si>
    <t>Instant Golem</t>
  </si>
  <si>
    <t>Instant Petrifaction</t>
  </si>
  <si>
    <t>Itemisation</t>
  </si>
  <si>
    <t>Making</t>
  </si>
  <si>
    <t>Matter Transmutation</t>
  </si>
  <si>
    <t>Possess Golem</t>
  </si>
  <si>
    <t>Unfastening</t>
  </si>
  <si>
    <t>Wall of Dust &amp; Sand</t>
  </si>
  <si>
    <t>Wall Walking</t>
  </si>
  <si>
    <t>Binding Permanency</t>
  </si>
  <si>
    <t>Item Divination</t>
  </si>
  <si>
    <t>Major Creation</t>
  </si>
  <si>
    <t>Shaping Iron Golems</t>
  </si>
  <si>
    <t>Shaping Stone Golems</t>
  </si>
  <si>
    <t>Shaping Wood Golems</t>
  </si>
  <si>
    <t>Construct: 2 Hrs*Hgt (3-9')</t>
  </si>
  <si>
    <t>Construct: 3 Hrs*Hgt (0.5-2.5')</t>
  </si>
  <si>
    <t>Construct: 4 Days*Hgt (4-12')</t>
  </si>
  <si>
    <t>Construct: 2 Days*Hgt (2-9')</t>
  </si>
  <si>
    <t>Costs 2FT</t>
  </si>
  <si>
    <t>Permanent</t>
  </si>
  <si>
    <t>Construct: 4 Days*Hgt (4-10')</t>
  </si>
  <si>
    <t>Necromantic Conjurations (Entity)</t>
  </si>
  <si>
    <t>Ask the Dead</t>
  </si>
  <si>
    <t>Death Sense</t>
  </si>
  <si>
    <t>Animating Bodily Parts</t>
  </si>
  <si>
    <t>Conjuring Darkness</t>
  </si>
  <si>
    <t>Binding Lesser Undead</t>
  </si>
  <si>
    <t>Detecting Undead</t>
  </si>
  <si>
    <t>Noxious Vapours</t>
  </si>
  <si>
    <t>Putrescence</t>
  </si>
  <si>
    <t>Putrid Wound</t>
  </si>
  <si>
    <t>Rigor Mortis</t>
  </si>
  <si>
    <t>Spectral Hand</t>
  </si>
  <si>
    <t>Warping</t>
  </si>
  <si>
    <t>Converse with the Dead</t>
  </si>
  <si>
    <t>Summoning Lesser Undead</t>
  </si>
  <si>
    <t>Agony</t>
  </si>
  <si>
    <t>Animation of the Dead</t>
  </si>
  <si>
    <t>Binding Greater Undead</t>
  </si>
  <si>
    <t>Bone Construction</t>
  </si>
  <si>
    <t>Dark Vision</t>
  </si>
  <si>
    <t>Hand of Death</t>
  </si>
  <si>
    <t>Life Draining</t>
  </si>
  <si>
    <t>Necrosis</t>
  </si>
  <si>
    <t>Petit Mort</t>
  </si>
  <si>
    <t>Scarring Terrain</t>
  </si>
  <si>
    <t>Spectral Warrior</t>
  </si>
  <si>
    <t>Spectral Weapon</t>
  </si>
  <si>
    <t>Stream of Corruption</t>
  </si>
  <si>
    <t>Wall of Bones</t>
  </si>
  <si>
    <t>Wraith Cloak</t>
  </si>
  <si>
    <t>Becoming Undead</t>
  </si>
  <si>
    <t>Life Prolonging</t>
  </si>
  <si>
    <t>Permanency</t>
  </si>
  <si>
    <t>Shaping Flesh Golems</t>
  </si>
  <si>
    <t>Summoning Greater Undead</t>
  </si>
  <si>
    <t>1. Auto-sense death within range</t>
  </si>
  <si>
    <t>2. chance to identify place of death</t>
  </si>
  <si>
    <t>T2.2</t>
  </si>
  <si>
    <t>Control 1 Greater Undead</t>
  </si>
  <si>
    <t>Namer (Thaumaturgy)</t>
  </si>
  <si>
    <t>Mind (Thaumaturgy)</t>
  </si>
  <si>
    <t>Bardic (Thaumaturgy)</t>
  </si>
  <si>
    <t>Air (Elemental)</t>
  </si>
  <si>
    <t>Earth (Elemental)</t>
  </si>
  <si>
    <t>Fire (Elemental)</t>
  </si>
  <si>
    <t>Ice (Elemental)</t>
  </si>
  <si>
    <t>Water (Elemental)</t>
  </si>
  <si>
    <t>Wiccan (Entity)</t>
  </si>
  <si>
    <t>E&amp;E (Thaumaturgy)</t>
  </si>
  <si>
    <t>Illusion (Thaumaturgy)</t>
  </si>
  <si>
    <t>Enhanced Vision</t>
  </si>
  <si>
    <t>Project Image</t>
  </si>
  <si>
    <t>Cap eff rank, -20% cast chance</t>
  </si>
  <si>
    <t>Audile Illusion</t>
  </si>
  <si>
    <t>Flash of Light</t>
  </si>
  <si>
    <t>Illusion of Food</t>
  </si>
  <si>
    <t>Personalised Illusion</t>
  </si>
  <si>
    <t>Illusion of Seeming</t>
  </si>
  <si>
    <t>Static Illusion</t>
  </si>
  <si>
    <t>Illusionary Wall</t>
  </si>
  <si>
    <t>Illusionary Cloaking</t>
  </si>
  <si>
    <t>Illusionary Fog</t>
  </si>
  <si>
    <t>Illusionary Animal</t>
  </si>
  <si>
    <t>Illusory Creation</t>
  </si>
  <si>
    <t>Illusionary Bolt</t>
  </si>
  <si>
    <t>Illusion of Deep Pockets</t>
  </si>
  <si>
    <t>Disguise Illusion</t>
  </si>
  <si>
    <t>Nightmare</t>
  </si>
  <si>
    <t>Maze</t>
  </si>
  <si>
    <t>Illusion of Metamorphosis</t>
  </si>
  <si>
    <t>Illusion of Mist</t>
  </si>
  <si>
    <t>Illusionary Aura</t>
  </si>
  <si>
    <t>Illusionary Terrain</t>
  </si>
  <si>
    <t>Illusion of Multiple Images</t>
  </si>
  <si>
    <t>Illusion of Innocence</t>
  </si>
  <si>
    <t>Heroism</t>
  </si>
  <si>
    <t>Hallucination</t>
  </si>
  <si>
    <t>Illusionary Euphonia</t>
  </si>
  <si>
    <t>Rune (Entity)</t>
  </si>
  <si>
    <t>Interpret Runes and Symbols</t>
  </si>
  <si>
    <t>Spirit Vision</t>
  </si>
  <si>
    <t>Control Entity</t>
  </si>
  <si>
    <t>Darkness Rune</t>
  </si>
  <si>
    <t>Lesser Healing Rune</t>
  </si>
  <si>
    <t>Light Rune</t>
  </si>
  <si>
    <t>Smite</t>
  </si>
  <si>
    <t>Fashioning Runestaff</t>
  </si>
  <si>
    <t>Control Corpse</t>
  </si>
  <si>
    <t>Converse with Spirits</t>
  </si>
  <si>
    <t>Sending</t>
  </si>
  <si>
    <t>Warding with Runes</t>
  </si>
  <si>
    <t>Runes of Sight</t>
  </si>
  <si>
    <t>Transformation</t>
  </si>
  <si>
    <t>Rune Healing</t>
  </si>
  <si>
    <t>Rune Portal</t>
  </si>
  <si>
    <t>Casting the Runes</t>
  </si>
  <si>
    <t>Binding Elements</t>
  </si>
  <si>
    <t>Binding Spirits</t>
  </si>
  <si>
    <t>Warning Stones</t>
  </si>
  <si>
    <t>Torment</t>
  </si>
  <si>
    <t>Trapping Spirit</t>
  </si>
  <si>
    <t>Summon Totem helper</t>
  </si>
  <si>
    <t>Visitation</t>
  </si>
  <si>
    <t>Sacrifice</t>
  </si>
  <si>
    <t>Rune Wall</t>
  </si>
  <si>
    <t>Rune Shield</t>
  </si>
  <si>
    <t>Rune Lock</t>
  </si>
  <si>
    <t>Rune of Truth</t>
  </si>
  <si>
    <t>Rune Curse</t>
  </si>
  <si>
    <t>Greater Heart Rune</t>
  </si>
  <si>
    <t>Rune of Willow Healing</t>
  </si>
  <si>
    <t>Creating Rune Weapon</t>
  </si>
  <si>
    <t>70 Feet</t>
  </si>
  <si>
    <t>Unlimited</t>
  </si>
  <si>
    <t>Hard Leather Armour AP 5 Wt 3 AG -1</t>
  </si>
  <si>
    <t>Race Size</t>
  </si>
  <si>
    <t>W. Def</t>
  </si>
  <si>
    <t>-1% per 10' check every 20'</t>
  </si>
  <si>
    <t>Magic contains all of the colleges but just fill in yours and delete the others until yours are the top 30ish rows.</t>
  </si>
  <si>
    <t>Summary is the printable character sheet and should have all the correct details and numbers once everything else is entered in the other tabs.</t>
  </si>
  <si>
    <t>NB Calculated based on Race &amp; Sex</t>
  </si>
  <si>
    <t>Adventure:</t>
  </si>
  <si>
    <t>GM:</t>
  </si>
  <si>
    <t>1 pulse sniff % to identify smells</t>
  </si>
  <si>
    <t>Damage Tracking</t>
  </si>
  <si>
    <t>Status</t>
  </si>
  <si>
    <t>Magic Resistance %</t>
  </si>
  <si>
    <t>Equipment List - the first 36 items show on the Summary</t>
  </si>
  <si>
    <t>Unique talents/abilities that provide bonuses...</t>
  </si>
  <si>
    <t>..</t>
  </si>
  <si>
    <t>Hide the irrelevant skill rows in the Summary Page and in the skills page too if they bug you.</t>
  </si>
  <si>
    <t>Bonuses is for your racial, college, item and party-buff modifiers. Also for your item list and how those items affect some of your stats and abilities.</t>
  </si>
  <si>
    <t>Please update the Yellow cells starting in this tab and then working through Names (if relevant), Weapons, Magic, Skills, Combat, and Bonuses.</t>
  </si>
  <si>
    <t>Weapons is for your weapon ranks, Combat is for the weapons you use and want to see on your sheet.</t>
  </si>
  <si>
    <t>Weapon Spell</t>
  </si>
  <si>
    <t>%+</t>
  </si>
  <si>
    <t>Dmg+</t>
  </si>
  <si>
    <t>Alt Dmg+</t>
  </si>
  <si>
    <t>Ench/Spectral Weapon</t>
  </si>
  <si>
    <t>Light/Dark Sword</t>
  </si>
  <si>
    <t>Mornings</t>
  </si>
  <si>
    <t>Afternoons</t>
  </si>
  <si>
    <t/>
  </si>
  <si>
    <t>am</t>
  </si>
  <si>
    <t>pm</t>
  </si>
  <si>
    <t>End Dbl</t>
  </si>
  <si>
    <t>SG Trp</t>
  </si>
  <si>
    <t>Aim End</t>
  </si>
  <si>
    <t>Aim SG</t>
  </si>
  <si>
    <t>Ass. Front</t>
  </si>
  <si>
    <t>Ass. Rear</t>
  </si>
  <si>
    <t>Ass. Surp.</t>
  </si>
  <si>
    <t>Ass. Rk.</t>
  </si>
  <si>
    <t>Bow Ranges</t>
  </si>
  <si>
    <t>SC% Pen.</t>
  </si>
  <si>
    <t>Max Range for:</t>
  </si>
  <si>
    <t>Hex</t>
  </si>
  <si>
    <t>Yard</t>
  </si>
  <si>
    <t>Feet</t>
  </si>
  <si>
    <t>S Thrower</t>
  </si>
  <si>
    <t>Short, Sling</t>
  </si>
  <si>
    <t>X-Bow</t>
  </si>
  <si>
    <t>H X-Bow</t>
  </si>
  <si>
    <t>Composite</t>
  </si>
  <si>
    <t>Orcish</t>
  </si>
  <si>
    <t>Assay: Common</t>
  </si>
  <si>
    <t>Uncommon</t>
  </si>
  <si>
    <t>Rare/Costly</t>
  </si>
  <si>
    <t>Damage Reduction vs Magic</t>
  </si>
  <si>
    <t>Skills &amp; Stats</t>
  </si>
  <si>
    <t>Resistance</t>
  </si>
  <si>
    <t>IV Unengaged</t>
  </si>
  <si>
    <t>IV Engaged</t>
  </si>
  <si>
    <t>IV Melee</t>
  </si>
  <si>
    <t>SC Melee</t>
  </si>
  <si>
    <t>Def % Melee</t>
  </si>
  <si>
    <t>IV Close</t>
  </si>
  <si>
    <t>SC Close</t>
  </si>
  <si>
    <t>Def % Close</t>
  </si>
  <si>
    <t>IV Ranged</t>
  </si>
  <si>
    <t>SC Ranged</t>
  </si>
  <si>
    <t>Def % Ranged</t>
  </si>
  <si>
    <t>Dmg required to Stun</t>
  </si>
  <si>
    <t>Dmg to -1 in one blow</t>
  </si>
  <si>
    <t>Dmg to Kill in one blow</t>
  </si>
  <si>
    <t>Death Point (-ve EN)</t>
  </si>
  <si>
    <t>Reaction Checks</t>
  </si>
  <si>
    <t>Spell %</t>
  </si>
  <si>
    <t>Talent %</t>
  </si>
  <si>
    <t>Ritual %</t>
  </si>
  <si>
    <t>Talent Rks</t>
  </si>
  <si>
    <t>Gen Spell Rks</t>
  </si>
  <si>
    <t>Gen Ritual Rks</t>
  </si>
  <si>
    <t>Spec Spell Rks</t>
  </si>
  <si>
    <t>Spec Ritual Rks</t>
  </si>
  <si>
    <t>EN Armour:</t>
  </si>
  <si>
    <t>FT Armour:</t>
  </si>
  <si>
    <t>Necrogeny:</t>
  </si>
  <si>
    <t>Dmg Reduction:</t>
  </si>
  <si>
    <t>Magic Dmg Protection:</t>
  </si>
  <si>
    <t>Small Backpack, Leather 20lb capacity</t>
  </si>
  <si>
    <t>50' 1/2" Hemp Rope</t>
  </si>
  <si>
    <t>Light blanket</t>
  </si>
  <si>
    <t>Flint &amp; Steel</t>
  </si>
  <si>
    <t>Small fry pan</t>
  </si>
  <si>
    <t>Waterskin, 1 gallon</t>
  </si>
  <si>
    <t>Waters of Healing D-5+8  2  1</t>
  </si>
  <si>
    <t>Silvered Dagger</t>
  </si>
  <si>
    <t>Canvas Tarp</t>
  </si>
  <si>
    <t>Large Sack, 40lb capacity</t>
  </si>
  <si>
    <t>Pair of Walking Boots</t>
  </si>
  <si>
    <t>Pitch torches x 3</t>
  </si>
  <si>
    <t>Newhaven Starter Kit:</t>
  </si>
  <si>
    <t>Rk 0 Days</t>
  </si>
  <si>
    <t>Days x Rank</t>
  </si>
  <si>
    <t>Player</t>
  </si>
  <si>
    <t>Eff. Rk</t>
  </si>
  <si>
    <t>Roll</t>
  </si>
  <si>
    <t>Results</t>
  </si>
  <si>
    <t>Recovery</t>
  </si>
  <si>
    <t>01–05</t>
  </si>
  <si>
    <t>Arm, Primary</t>
  </si>
  <si>
    <t>+1 EN Dmg, Bleed 1 EN per pulse.</t>
  </si>
  <si>
    <t>Healer rk 0 to staunch.</t>
  </si>
  <si>
    <t>06–07</t>
  </si>
  <si>
    <t>Arm, Secondary, Elbow</t>
  </si>
  <si>
    <t>+2 EN Dmg, Arm useless (Weapon tip broken off in elbow joint). +30 to infection.</t>
  </si>
  <si>
    <t>Healer rk 3 to remove sliver.</t>
  </si>
  <si>
    <t>08–08</t>
  </si>
  <si>
    <t>Groin puncture</t>
  </si>
  <si>
    <t>+3 EN Dmg, -2 TMR. +30 to infection.</t>
  </si>
  <si>
    <t>09–10</t>
  </si>
  <si>
    <t>Arm, Secondary</t>
  </si>
  <si>
    <t>+2 EN Dmg, drop anything in hand.</t>
  </si>
  <si>
    <t>11–11</t>
  </si>
  <si>
    <t>Chest, Severed Aorta</t>
  </si>
  <si>
    <t>Dead</t>
  </si>
  <si>
    <t>12–12</t>
  </si>
  <si>
    <t>Torso, Stomach puncture</t>
  </si>
  <si>
    <t>+3 EN Dmg ,-2 TMR. Stunned for the next pulse, after which you may recover. +20 to infection.</t>
  </si>
  <si>
    <t>13–13</t>
  </si>
  <si>
    <t>Eye (1 Brain 2–5 Left 6–10 Right)</t>
  </si>
  <si>
    <r>
      <t xml:space="preserve">1 = </t>
    </r>
    <r>
      <rPr>
        <b/>
        <sz val="10"/>
        <rFont val="Arial"/>
        <family val="2"/>
      </rPr>
      <t>Dead</t>
    </r>
    <r>
      <rPr>
        <sz val="10"/>
        <rFont val="Arial"/>
        <family val="2"/>
      </rPr>
      <t>.  Eye blinded: +2 EN Dmg, -1 MD, -2 PB, -4 PC, -30% SC missile or thrown.</t>
    </r>
  </si>
  <si>
    <t>14–18</t>
  </si>
  <si>
    <t>Torso, Solid viscera</t>
  </si>
  <si>
    <t>+3 EN Dmg, Bleed 1 EN per pulse. +30 to infection.</t>
  </si>
  <si>
    <t xml:space="preserve">Healer rk 2 to staunch. </t>
  </si>
  <si>
    <t>19–20</t>
  </si>
  <si>
    <t>Leg - thigh muscle</t>
  </si>
  <si>
    <t>+1 EN Dmg, -1 TMR</t>
  </si>
  <si>
    <t>21–25</t>
  </si>
  <si>
    <t>Chest, ribs</t>
  </si>
  <si>
    <t>+2 EN Dmg, -1 TMR Weapon caught rib cage, wrenched from their grasp.</t>
  </si>
  <si>
    <t>26–27</t>
  </si>
  <si>
    <t>Hand, Secondary severed at wrist</t>
  </si>
  <si>
    <t>+2 EN Dmg, Bleed 1 FT per pulse, -2 MD</t>
  </si>
  <si>
    <t>28–30</t>
  </si>
  <si>
    <t>Hand, Primary severed at wrist</t>
  </si>
  <si>
    <t>31–34</t>
  </si>
  <si>
    <t>Head, Face slash</t>
  </si>
  <si>
    <t>-4 PB</t>
  </si>
  <si>
    <t>35–35</t>
  </si>
  <si>
    <t>Arm, Secondary severed at shoulder</t>
  </si>
  <si>
    <t>+5 EN Dmg, Bleed 1 FT per pulse, -2 MD, -1 AG</t>
  </si>
  <si>
    <t>Healer rk 1 to staunch.</t>
  </si>
  <si>
    <t>36–36</t>
  </si>
  <si>
    <t>Arm, Primary severed at shoulder</t>
  </si>
  <si>
    <t>37–40</t>
  </si>
  <si>
    <t>Torso, Eviscerated</t>
  </si>
  <si>
    <t>+4 EN Dmg, Bleed 1 FT per pulse. +40 to infection.</t>
  </si>
  <si>
    <t>41–42</t>
  </si>
  <si>
    <t>Head, scalp &amp; sever one ear</t>
  </si>
  <si>
    <t>+2 EN Dmg, -2 PC</t>
  </si>
  <si>
    <t>43–43</t>
  </si>
  <si>
    <t>Head, cheek &amp; jaw</t>
  </si>
  <si>
    <t>Take an automatic pass action next pulse due to the shock of the blow. +1 PB</t>
  </si>
  <si>
    <t>44–50</t>
  </si>
  <si>
    <t>Arm slash</t>
  </si>
  <si>
    <t>+2 EN Dmg, Bleed 1 FT per pulse.</t>
  </si>
  <si>
    <t>51–52</t>
  </si>
  <si>
    <t>Leg Hamstrung (1-4 left 5-10 right)</t>
  </si>
  <si>
    <t>+4 EN Dmg, fall prone - may not stand unassisted. -3 AG</t>
  </si>
  <si>
    <t>53–60</t>
  </si>
  <si>
    <t>Arm, Primary crippled</t>
  </si>
  <si>
    <t>+2 EN Dmg, drop anything in hand. Arm unusable.</t>
  </si>
  <si>
    <t>61–67</t>
  </si>
  <si>
    <t>Arm, Secondary crippled</t>
  </si>
  <si>
    <t>68–69</t>
  </si>
  <si>
    <t>Shoulder/neck (1–3 head 4–6 sec 7–10 prim)</t>
  </si>
  <si>
    <r>
      <t xml:space="preserve">Head severed = </t>
    </r>
    <r>
      <rPr>
        <b/>
        <sz val="10"/>
        <rFont val="Arial"/>
        <family val="2"/>
      </rPr>
      <t>Dead</t>
    </r>
    <r>
      <rPr>
        <sz val="10"/>
        <rFont val="Arial"/>
        <family val="2"/>
      </rPr>
      <t>. Or collar bone crushed +4 EN Dmg, drop anything in hand. Arm unusable.</t>
    </r>
  </si>
  <si>
    <t>70–74</t>
  </si>
  <si>
    <t>Head, helmet concussion</t>
  </si>
  <si>
    <t>+3 EN Dmg, -4 MD, -4 AG</t>
  </si>
  <si>
    <t>75–80</t>
  </si>
  <si>
    <t>Chest (broken ribs, crushed tissue)</t>
  </si>
  <si>
    <t>+5 EN Dmg, -3 MD, -3 AG, +10 to infection.</t>
  </si>
  <si>
    <t>81–84</t>
  </si>
  <si>
    <t>Torso (smashes tissue, internal injuries)</t>
  </si>
  <si>
    <t>85–87</t>
  </si>
  <si>
    <t>Arm, Primary (Shoulder)</t>
  </si>
  <si>
    <t>+2 EN Dmg, Arm useless D10 pulses, drop anything in hand.</t>
  </si>
  <si>
    <t>88–89</t>
  </si>
  <si>
    <t>Arm, Secondary (Shoulder)</t>
  </si>
  <si>
    <t>90–92</t>
  </si>
  <si>
    <t>Hip, Right smashed</t>
  </si>
  <si>
    <t>+5 EN Dmg, fall prone, unable to walk, -1 TMR -2AG.</t>
  </si>
  <si>
    <t>93–94</t>
  </si>
  <si>
    <t>Hip, Left smashed</t>
  </si>
  <si>
    <t>95–97</t>
  </si>
  <si>
    <t>Head, skull fracture</t>
  </si>
  <si>
    <r>
      <t xml:space="preserve">+8 EN Dmg, fall prone, </t>
    </r>
    <r>
      <rPr>
        <b/>
        <sz val="10"/>
        <rFont val="Arial"/>
        <family val="2"/>
      </rPr>
      <t>unconscious</t>
    </r>
    <r>
      <rPr>
        <sz val="10"/>
        <rFont val="Arial"/>
        <family val="2"/>
      </rPr>
      <t>, -2 AG, -2 MD, -2 PC.</t>
    </r>
  </si>
  <si>
    <t>98–00</t>
  </si>
  <si>
    <t>Pelvis (broken bone/tissue)</t>
  </si>
  <si>
    <t>+7 EN Dmg, fall prone, WP check to stay conscious. Unable to move.</t>
  </si>
  <si>
    <t>Longbow</t>
  </si>
  <si>
    <t>Your name</t>
  </si>
  <si>
    <t>Bleeding dmg/pulse Mod</t>
  </si>
  <si>
    <t>Poison dmg/pulse Mod</t>
  </si>
  <si>
    <t>Reveal truth within an area.</t>
  </si>
  <si>
    <t>% Mod.</t>
  </si>
  <si>
    <t>Gauge</t>
  </si>
  <si>
    <t>°C</t>
  </si>
  <si>
    <t>Climate</t>
  </si>
  <si>
    <t>Specification</t>
  </si>
  <si>
    <t>&lt;= -20</t>
  </si>
  <si>
    <t>Arctic</t>
  </si>
  <si>
    <t>Dangerous</t>
  </si>
  <si>
    <t>Salt water freezes</t>
  </si>
  <si>
    <t>Branches become brittle</t>
  </si>
  <si>
    <t>Arctic-like</t>
  </si>
  <si>
    <t>Dangerously cold if not dressed in winter clothing</t>
  </si>
  <si>
    <t>Sub-arctic</t>
  </si>
  <si>
    <t>Water freezes, numbness, precipitation becomes hail, snow, sleet</t>
  </si>
  <si>
    <t>Cold, uncomfortable if poorly clothed</t>
  </si>
  <si>
    <t>Sub-tropical</t>
  </si>
  <si>
    <t>Cool</t>
  </si>
  <si>
    <t>Comfortable</t>
  </si>
  <si>
    <t>Comfortable, warm</t>
  </si>
  <si>
    <t>Tropical</t>
  </si>
  <si>
    <t>Hot, uncomfortable if poorly clothed</t>
  </si>
  <si>
    <t>Uncomfortably hot, sub-tropical plants wither</t>
  </si>
  <si>
    <t>Desert-like</t>
  </si>
  <si>
    <t>Extreme heat, sub-tropical plants die, tropical plants wither</t>
  </si>
  <si>
    <t>12+</t>
  </si>
  <si>
    <t>40+</t>
  </si>
  <si>
    <t>Desert</t>
  </si>
  <si>
    <t>Debilitating, tropical plants die</t>
  </si>
  <si>
    <t>+5% for abundant snow/ice</t>
  </si>
  <si>
    <t>Descriptions</t>
  </si>
  <si>
    <t>Adept is in light mist, fog, or rain, or is soaking wet</t>
  </si>
  <si>
    <t>Adept is in heavy fog, or rain, or is par-tially immersed in water</t>
  </si>
  <si>
    <t>Adept is almost totally immersed in water</t>
  </si>
  <si>
    <t>Adept is within 30 feet of large campfire</t>
  </si>
  <si>
    <t>Adept is within 30 feet of bonfire</t>
  </si>
  <si>
    <t>Adept is in contact with small campfire</t>
  </si>
  <si>
    <t>Adept is in contact with large campfire</t>
  </si>
  <si>
    <t>Adept is in contact with bonfire</t>
  </si>
  <si>
    <t>Adept is in a hot, dry region (e.g. desert)</t>
  </si>
  <si>
    <t>Caster is underground or totally enclosed</t>
  </si>
  <si>
    <t>Caster is only partially enclosed</t>
  </si>
  <si>
    <t>Caster is flying, or otherwise not in contact with any liquid or solid surface</t>
  </si>
  <si>
    <t>Caster is standing in natural winds of 40 mph or greater</t>
  </si>
  <si>
    <t>Caster is more than 100’ above ground (fly-ing or falling etc.)</t>
  </si>
  <si>
    <t>Caster is above all landmarks within 10 miles and at least 500’ above the ground (flying or falling etc.)</t>
  </si>
  <si>
    <t>Caster is on top of a mountain</t>
  </si>
  <si>
    <t>Adept is completely immersed in water</t>
  </si>
  <si>
    <t>Adept is in physical contact with water</t>
  </si>
  <si>
    <t>Adept is within 25 feet of water</t>
  </si>
  <si>
    <t>Adept is within 500 feet of water</t>
  </si>
  <si>
    <t>Adept is surrounded by mist or fog, or is standing in the rain</t>
  </si>
  <si>
    <t>Adept is on land and over 1 mile from water</t>
  </si>
  <si>
    <t>Adept is on land and over 10 miles from water</t>
  </si>
  <si>
    <t>This modifier may be applied in conjunction with one of the above:</t>
  </si>
  <si>
    <t>All water in the vicinity of the Adept is frozen</t>
  </si>
  <si>
    <t>Midnight in a storm; Underground, no lights</t>
  </si>
  <si>
    <t>Overcast night; Single Candle Underground</t>
  </si>
  <si>
    <t>New Moon, Moonless night; 1 Torch Underground, Window less room in day</t>
  </si>
  <si>
    <t>Night with crescent Moon + stars; 1 Lantern Underground</t>
  </si>
  <si>
    <t>Night in a town; Campfire at night, Shuttered room in day</t>
  </si>
  <si>
    <t>Night of Full Moon; Torch-lit Underground</t>
  </si>
  <si>
    <t>Twilight, Major Storm; Inside on overcast day</t>
  </si>
  <si>
    <t>Bright day in a forest, Solid rain; Lamp-lit Interior</t>
  </si>
  <si>
    <t>Overcast, Mist, Light rain; Brightly lit Underground</t>
  </si>
  <si>
    <t>Autumn Morning, Light cloud; Brightly lit Interior</t>
  </si>
  <si>
    <t>Bright sunny afternoon</t>
  </si>
  <si>
    <t>Noon</t>
  </si>
  <si>
    <t>Noon in a desert</t>
  </si>
  <si>
    <t>Light Lvl</t>
  </si>
  <si>
    <t>Solar</t>
  </si>
  <si>
    <t>Shadow</t>
  </si>
  <si>
    <t>Star</t>
  </si>
  <si>
    <t>Dark</t>
  </si>
  <si>
    <t>% Mod</t>
  </si>
  <si>
    <t>MD Mod</t>
  </si>
  <si>
    <t>Wgt</t>
  </si>
  <si>
    <t>Armour/Protection</t>
  </si>
  <si>
    <t>Defence Spell…</t>
  </si>
  <si>
    <t>2nd Armour/Protection</t>
  </si>
  <si>
    <t>3rd Armour/Protection</t>
  </si>
  <si>
    <t>base</t>
  </si>
  <si>
    <t>WT</t>
  </si>
  <si>
    <t>HT</t>
  </si>
  <si>
    <t>IV m</t>
  </si>
  <si>
    <t>BC m</t>
  </si>
  <si>
    <t>D+</t>
  </si>
  <si>
    <t>Rge</t>
  </si>
  <si>
    <t>Spell</t>
  </si>
  <si>
    <t>Artisan Skill</t>
  </si>
  <si>
    <t>CS General</t>
  </si>
  <si>
    <t>CS Special</t>
  </si>
  <si>
    <t>Mins</t>
  </si>
  <si>
    <t>+MR</t>
  </si>
  <si>
    <t>RT</t>
  </si>
  <si>
    <t>Dwarven Sight</t>
  </si>
  <si>
    <t>50' / 100' / 150'</t>
  </si>
  <si>
    <t>Dark =&gt; dusk: Out / Inside / Underground.</t>
  </si>
  <si>
    <t>Wiccan Amulets:</t>
  </si>
  <si>
    <t>Amethyst (+10% FT from sleep)</t>
  </si>
  <si>
    <t>Aquilegius (-10 on Fear Table)</t>
  </si>
  <si>
    <t>Beryl (+5% Detect Traps/Ambushes)</t>
  </si>
  <si>
    <t>Carbuncle (-2 Poison damage per pulse/day)</t>
  </si>
  <si>
    <t>Chalcedony (Undead 10')</t>
  </si>
  <si>
    <t>Diamonds (+2% Strike Chance)</t>
  </si>
  <si>
    <t>Other Protections</t>
  </si>
  <si>
    <t>Stun Recovery %</t>
  </si>
  <si>
    <t>Infection Chance</t>
  </si>
  <si>
    <t>Fear Table Roll</t>
  </si>
  <si>
    <t>Fear Resistance Rolls</t>
  </si>
  <si>
    <t>Bloodstone (-20% Infection chance, Prevent Miscarriage)</t>
  </si>
  <si>
    <t>Betony (-15% Infection chance)</t>
  </si>
  <si>
    <t>Elder Flowers (Protects from Evil Eye)</t>
  </si>
  <si>
    <t>Hypericum (+10% MR vs Demonics)</t>
  </si>
  <si>
    <t>Iron (Demonics 10')</t>
  </si>
  <si>
    <t>Jade (Undead 30')</t>
  </si>
  <si>
    <t>Jet (Demonics 50')</t>
  </si>
  <si>
    <t>Luck (+3% MR, +2% Def)</t>
  </si>
  <si>
    <t>Detect Traps</t>
  </si>
  <si>
    <t>Detect Ambush</t>
  </si>
  <si>
    <t>Other Bonuses</t>
  </si>
  <si>
    <t>Value (sp)</t>
  </si>
  <si>
    <t>Tallow Candles (1 hr) x 12</t>
  </si>
  <si>
    <t>Magic Resistance</t>
  </si>
  <si>
    <t>Magic Resistance vs Demonics</t>
  </si>
  <si>
    <t>Damage Reduction vs All</t>
  </si>
  <si>
    <t>Damage Reduction vs Physical</t>
  </si>
  <si>
    <t>Cold Protection (Temp Gauge)</t>
  </si>
  <si>
    <t>Heat Protection (Temp Gauge)</t>
  </si>
  <si>
    <t>Cold Protection (Degrees)</t>
  </si>
  <si>
    <t>Heat Protection (Degrees)</t>
  </si>
  <si>
    <t>Damage Reduction vs Elemental</t>
  </si>
  <si>
    <t>Damage Reduction vs Cold/Ice</t>
  </si>
  <si>
    <t>Damage Reduction vs Fire/Heat</t>
  </si>
  <si>
    <t>Armour Protection vs Fatigue dmg</t>
  </si>
  <si>
    <t>Armour Protection vs Endurance dmg</t>
  </si>
  <si>
    <t>Damage Protection Breakdown</t>
  </si>
  <si>
    <t>Other Bonuses and Protections</t>
  </si>
  <si>
    <t>Binds all ice &amp; snow within range.</t>
  </si>
  <si>
    <t>Character's name</t>
  </si>
  <si>
    <t>Stat Checks</t>
  </si>
  <si>
    <t>PS Check %</t>
  </si>
  <si>
    <t>MD Check %</t>
  </si>
  <si>
    <t>AG Check %</t>
  </si>
  <si>
    <t>MA Check %</t>
  </si>
  <si>
    <t>WP Check %</t>
  </si>
  <si>
    <t>EN Check %</t>
  </si>
  <si>
    <t>PC Check %</t>
  </si>
  <si>
    <t>-ve Half EN</t>
  </si>
  <si>
    <t>&gt; 1/3 EN</t>
  </si>
  <si>
    <t>&gt; FT + 1.5xEN</t>
  </si>
  <si>
    <t>&gt;= FT + EN</t>
  </si>
  <si>
    <t>PC + 2xMilSci</t>
  </si>
  <si>
    <t>2xWP + GE + Current FT</t>
  </si>
  <si>
    <t>Shield Defence</t>
  </si>
  <si>
    <t>Alternate Defence</t>
  </si>
  <si>
    <t>Protection (Def &amp; Armour)</t>
  </si>
  <si>
    <t>Damage (extra dmg on all weapons)</t>
  </si>
  <si>
    <t>Strike Chance % (All)</t>
  </si>
  <si>
    <t>Defence % (Base)</t>
  </si>
  <si>
    <t>Magic use</t>
  </si>
  <si>
    <t>Magic Resistance and Protections</t>
  </si>
  <si>
    <t>Choose which summary best suits you and you may want (or need) to customise the summary to suit your character and preferences.</t>
  </si>
  <si>
    <t>Grey cells shouldn't normally be changed though non-standard items and abilities may require changes to those cells.</t>
  </si>
  <si>
    <t>Names is only applicable to Namers. Move or hide this tab if not relevant.</t>
  </si>
  <si>
    <t>Disintegration</t>
  </si>
  <si>
    <t>Warrior Rank</t>
  </si>
  <si>
    <t>Categories</t>
  </si>
  <si>
    <t>Minimum Rank</t>
  </si>
  <si>
    <t>Weapons rk 4+</t>
  </si>
  <si>
    <t>Weapons rk 5+</t>
  </si>
  <si>
    <t>Weapons rk 6+</t>
  </si>
  <si>
    <t>Weapons rk 7+</t>
  </si>
  <si>
    <t>Qualified?</t>
  </si>
  <si>
    <t>Weapon Rk</t>
  </si>
  <si>
    <t># Categories</t>
  </si>
  <si>
    <t># Weapons at required rank:</t>
  </si>
  <si>
    <t>Max Rk in Cat</t>
  </si>
  <si>
    <t>Warrior Special Abilities</t>
  </si>
  <si>
    <t>Extra Warrior Abilities</t>
  </si>
  <si>
    <t>Weapon skill and weapon category requirements for each Warrior rank</t>
  </si>
  <si>
    <t>Close-Evasion</t>
  </si>
  <si>
    <t>Ability</t>
  </si>
  <si>
    <t>Weapon Specific</t>
  </si>
  <si>
    <t>FT Cost</t>
  </si>
  <si>
    <t>Description</t>
  </si>
  <si>
    <t>Close-Withdraw</t>
  </si>
  <si>
    <t>Pre-Engage</t>
  </si>
  <si>
    <t>Two Step</t>
  </si>
  <si>
    <t>Advanced Multi-Hex</t>
  </si>
  <si>
    <t>Double-Hex Strike</t>
  </si>
  <si>
    <t>Multi-Hex Bash</t>
  </si>
  <si>
    <t>Draw and Strike</t>
  </si>
  <si>
    <t>Off-hand</t>
  </si>
  <si>
    <t>Overstrike</t>
  </si>
  <si>
    <t>Repulse</t>
  </si>
  <si>
    <t>Advanced Disarm</t>
  </si>
  <si>
    <t>Strong Guard</t>
  </si>
  <si>
    <t>True Riposte</t>
  </si>
  <si>
    <t>Shield Block</t>
  </si>
  <si>
    <t>Fortitude</t>
  </si>
  <si>
    <t>Unstoppable</t>
  </si>
  <si>
    <t>Quick Stand</t>
  </si>
  <si>
    <t>Solid Strike</t>
  </si>
  <si>
    <t>Full Defence</t>
  </si>
  <si>
    <t>May re-roll a failed Consciousness or Stun Recovery check. Or, may make a 1xWP check each pulse to stay conscious when between 0 and -rank Endurance.</t>
  </si>
  <si>
    <t>Warrior Ability</t>
  </si>
  <si>
    <t>Custom Ability 1</t>
  </si>
  <si>
    <t>Custom Ability 2</t>
  </si>
  <si>
    <t>Custom Ability 3</t>
  </si>
  <si>
    <t>Custom Ability 4</t>
  </si>
  <si>
    <t>Warrior Rk:</t>
  </si>
  <si>
    <t>Evade in close combat. Standard defence bonuses for evasion and potential Parry.</t>
  </si>
  <si>
    <t>+1 TMR before a Melee Attack, Special Attack, or Charge.</t>
  </si>
  <si>
    <t>Special Attack: 2-Hex Strike with 1-handed B or C Class weapon.</t>
  </si>
  <si>
    <t>Multi-Hex Strike with 2-handed C Class weapon.</t>
  </si>
  <si>
    <t>Special Attack: Prepare Weapon &amp; Melee Attack.</t>
  </si>
  <si>
    <t>Treated as ambidextrous when using this weapon.</t>
  </si>
  <si>
    <t>Special Attack: apply damage bonuses for both skill and strength.</t>
  </si>
  <si>
    <t>+2 effective weapon rank when attempting to repulse a closing figure.</t>
  </si>
  <si>
    <t>Free Action: Shield an adjacent figure. Lose all shield defence, contribute half of it to an adjacent target for the remainder of the pulse.</t>
  </si>
  <si>
    <t>Free Action: Leap to your feet from prone.</t>
  </si>
  <si>
    <t>XP % Mod</t>
  </si>
  <si>
    <t>Races</t>
  </si>
  <si>
    <t>Hill Giant</t>
  </si>
  <si>
    <t>Shapechanger</t>
  </si>
  <si>
    <t>Choice/Rolls:</t>
  </si>
  <si>
    <t>Size</t>
  </si>
  <si>
    <t>customised?</t>
  </si>
  <si>
    <t>NA</t>
  </si>
  <si>
    <t>Ranking:</t>
  </si>
  <si>
    <t>Gender</t>
  </si>
  <si>
    <t>Male</t>
  </si>
  <si>
    <t>Female</t>
  </si>
  <si>
    <t>Race/Gender:</t>
  </si>
  <si>
    <t>Current Stats</t>
  </si>
  <si>
    <t>Characteristics</t>
  </si>
  <si>
    <t>XXS</t>
  </si>
  <si>
    <t>XS</t>
  </si>
  <si>
    <t>S</t>
  </si>
  <si>
    <t>L</t>
  </si>
  <si>
    <t>XL</t>
  </si>
  <si>
    <t>XXL</t>
  </si>
  <si>
    <t>3XL</t>
  </si>
  <si>
    <t>4XL</t>
  </si>
  <si>
    <t>3XS</t>
  </si>
  <si>
    <t>4XS</t>
  </si>
  <si>
    <t>SM</t>
  </si>
  <si>
    <t>ML</t>
  </si>
  <si>
    <t>5XS</t>
  </si>
  <si>
    <t>5XL</t>
  </si>
  <si>
    <t>Height Preference</t>
  </si>
  <si>
    <t>Hgt Mod</t>
  </si>
  <si>
    <t>Wgt Mod</t>
  </si>
  <si>
    <t>Height Mod:</t>
  </si>
  <si>
    <t>Weight Mod:</t>
  </si>
  <si>
    <t>Inches</t>
  </si>
  <si>
    <t>Pounds</t>
  </si>
  <si>
    <t>kg</t>
  </si>
  <si>
    <t>m</t>
  </si>
  <si>
    <t>Once you're done, copy or print it out for your records then manually update the Skills/Magic/Weapons/Names/Setup tabs to your new ranks.</t>
  </si>
  <si>
    <t>Bardic</t>
  </si>
  <si>
    <t>Binder</t>
  </si>
  <si>
    <t>Die</t>
  </si>
  <si>
    <t>Aspect</t>
  </si>
  <si>
    <t>Winter Air</t>
  </si>
  <si>
    <t>06–10</t>
  </si>
  <si>
    <t>Winter Water</t>
  </si>
  <si>
    <t>11–15</t>
  </si>
  <si>
    <t>Winter Earth</t>
  </si>
  <si>
    <t>16–20</t>
  </si>
  <si>
    <t>Winter Fire</t>
  </si>
  <si>
    <t>Spring Air</t>
  </si>
  <si>
    <t>26–30</t>
  </si>
  <si>
    <t>Spring Water</t>
  </si>
  <si>
    <t>31–35</t>
  </si>
  <si>
    <t>Spring Earth</t>
  </si>
  <si>
    <t>36–40</t>
  </si>
  <si>
    <t>Spring Fire</t>
  </si>
  <si>
    <t>41–45</t>
  </si>
  <si>
    <t>Summer Air</t>
  </si>
  <si>
    <t>46–50</t>
  </si>
  <si>
    <t>Summer Water</t>
  </si>
  <si>
    <t>51–55</t>
  </si>
  <si>
    <t>Summer Earth</t>
  </si>
  <si>
    <t>56–60</t>
  </si>
  <si>
    <t>Summer Fire</t>
  </si>
  <si>
    <t>61–65</t>
  </si>
  <si>
    <t>Autumn Air</t>
  </si>
  <si>
    <t>66–70</t>
  </si>
  <si>
    <t>Autumn Water</t>
  </si>
  <si>
    <t>71–75</t>
  </si>
  <si>
    <t>Autumn Earth</t>
  </si>
  <si>
    <t>76–80</t>
  </si>
  <si>
    <t>Autumn Fire</t>
  </si>
  <si>
    <t>81–85</t>
  </si>
  <si>
    <t>86–90</t>
  </si>
  <si>
    <t>Lunar</t>
  </si>
  <si>
    <t>91–95</t>
  </si>
  <si>
    <t>Life</t>
  </si>
  <si>
    <t>96-00</t>
  </si>
  <si>
    <t>Death</t>
  </si>
  <si>
    <t>E&amp;E</t>
  </si>
  <si>
    <t>Illusionist</t>
  </si>
  <si>
    <t>Mind Mage</t>
  </si>
  <si>
    <t>Namer</t>
  </si>
  <si>
    <t>Air Mage</t>
  </si>
  <si>
    <t>Celestial Star</t>
  </si>
  <si>
    <t>Earth Mage (Druidic)</t>
  </si>
  <si>
    <t>Earth Mage (Pacifistic)</t>
  </si>
  <si>
    <t>Celestial Dark</t>
  </si>
  <si>
    <t>Celestial Solar</t>
  </si>
  <si>
    <t>Celestial Shadow</t>
  </si>
  <si>
    <t>Fire Mage</t>
  </si>
  <si>
    <t>Ice Mage</t>
  </si>
  <si>
    <t>Water Mage</t>
  </si>
  <si>
    <t>Necromancer</t>
  </si>
  <si>
    <t>Rune Mage</t>
  </si>
  <si>
    <t>Wicca</t>
  </si>
  <si>
    <t>MA Req</t>
  </si>
  <si>
    <t>01–14</t>
  </si>
  <si>
    <t>Trash / Criminal</t>
  </si>
  <si>
    <t>15–20</t>
  </si>
  <si>
    <t>Bonded</t>
  </si>
  <si>
    <t>21–29</t>
  </si>
  <si>
    <t>Skilled retainer</t>
  </si>
  <si>
    <t>30–44</t>
  </si>
  <si>
    <t>Goodman</t>
  </si>
  <si>
    <t>45–54</t>
  </si>
  <si>
    <t>Master</t>
  </si>
  <si>
    <t>55–70</t>
  </si>
  <si>
    <t>Military</t>
  </si>
  <si>
    <t>71–84</t>
  </si>
  <si>
    <t>Gentry</t>
  </si>
  <si>
    <t>85–94</t>
  </si>
  <si>
    <t>Lesser Noble</t>
  </si>
  <si>
    <t>95–98</t>
  </si>
  <si>
    <t>Merchant-prince</t>
  </si>
  <si>
    <t>99–00</t>
  </si>
  <si>
    <t>Greater Noble</t>
  </si>
  <si>
    <t>40–90</t>
  </si>
  <si>
    <t>PB*</t>
  </si>
  <si>
    <t>Stealth %</t>
  </si>
  <si>
    <t>Physical Beauty is randomly generated: 4D5+3</t>
  </si>
  <si>
    <t>Physical Strength</t>
  </si>
  <si>
    <t>Manual Dexterity</t>
  </si>
  <si>
    <t>Agility</t>
  </si>
  <si>
    <t>Magical Aptitude</t>
  </si>
  <si>
    <t>Willpower</t>
  </si>
  <si>
    <t>Endurance</t>
  </si>
  <si>
    <t>Fatigue</t>
  </si>
  <si>
    <t>Perception</t>
  </si>
  <si>
    <t>Tactical Movement Rate - Derived from AG/PS/…</t>
  </si>
  <si>
    <t>Left</t>
  </si>
  <si>
    <t>Right</t>
  </si>
  <si>
    <t>Ambidextrous</t>
  </si>
  <si>
    <t>Roll D5 &amp; D10: D10 high = Right, Low = Left, Equal = Ambi</t>
  </si>
  <si>
    <t>Birth Order</t>
  </si>
  <si>
    <t>2nd</t>
  </si>
  <si>
    <t>2–3</t>
  </si>
  <si>
    <t>4th</t>
  </si>
  <si>
    <t>5th</t>
  </si>
  <si>
    <t>6th</t>
  </si>
  <si>
    <t>7–8</t>
  </si>
  <si>
    <t>7th</t>
  </si>
  <si>
    <t>8th+</t>
  </si>
  <si>
    <t>bastard</t>
  </si>
  <si>
    <t>Reactions</t>
  </si>
  <si>
    <t>Skill XP Discounts</t>
  </si>
  <si>
    <t>Alman</t>
  </si>
  <si>
    <t>Brett</t>
  </si>
  <si>
    <t>Destinian</t>
  </si>
  <si>
    <t>Ebolan</t>
  </si>
  <si>
    <t>Folksprach</t>
  </si>
  <si>
    <t>Lalange</t>
  </si>
  <si>
    <t>Reichspiel</t>
  </si>
  <si>
    <t>Saxony</t>
  </si>
  <si>
    <t>Domani</t>
  </si>
  <si>
    <t>Ellenic</t>
  </si>
  <si>
    <t>Arabiq</t>
  </si>
  <si>
    <t>Pasifikan</t>
  </si>
  <si>
    <t>Five Sisters</t>
  </si>
  <si>
    <t>Sea of Grass</t>
  </si>
  <si>
    <t>Lunar Empire</t>
  </si>
  <si>
    <t>Silent Tongue</t>
  </si>
  <si>
    <t>Eff Rank</t>
  </si>
  <si>
    <t>Family:</t>
  </si>
  <si>
    <t>Western Human</t>
  </si>
  <si>
    <t>Central Human</t>
  </si>
  <si>
    <t>Eastern Human</t>
  </si>
  <si>
    <t>Bestial</t>
  </si>
  <si>
    <t>Bhasa</t>
  </si>
  <si>
    <t>Dragon</t>
  </si>
  <si>
    <t>Eldar</t>
  </si>
  <si>
    <t>Faerie</t>
  </si>
  <si>
    <t>False Fey</t>
  </si>
  <si>
    <t>Earth Dweller</t>
  </si>
  <si>
    <t>Giant</t>
  </si>
  <si>
    <t>Merfolk</t>
  </si>
  <si>
    <t>Signing</t>
  </si>
  <si>
    <t>Group:</t>
  </si>
  <si>
    <t>Archaic</t>
  </si>
  <si>
    <t>Austronesian</t>
  </si>
  <si>
    <t>Dravidic</t>
  </si>
  <si>
    <t>Dwarvidic</t>
  </si>
  <si>
    <t>Dwarvic</t>
  </si>
  <si>
    <t>Elvic</t>
  </si>
  <si>
    <t>Elvidic</t>
  </si>
  <si>
    <t>Gnomic</t>
  </si>
  <si>
    <t>Herpetic</t>
  </si>
  <si>
    <t>Hiin</t>
  </si>
  <si>
    <t>Littoral</t>
  </si>
  <si>
    <t>Low Gigantic</t>
  </si>
  <si>
    <t>Nomadic</t>
  </si>
  <si>
    <t>Orcal</t>
  </si>
  <si>
    <t>Panic</t>
  </si>
  <si>
    <t>Perfidic</t>
  </si>
  <si>
    <t>Protonic</t>
  </si>
  <si>
    <t>Rustic</t>
  </si>
  <si>
    <t>Titanic</t>
  </si>
  <si>
    <t>Max rank</t>
  </si>
  <si>
    <t>Raniterran</t>
  </si>
  <si>
    <t>Draknbrger</t>
  </si>
  <si>
    <t>Kipchak</t>
  </si>
  <si>
    <t>Kravonian</t>
  </si>
  <si>
    <t>Panjari</t>
  </si>
  <si>
    <t>Sanddweller</t>
  </si>
  <si>
    <t>Themiskryan</t>
  </si>
  <si>
    <t>Hindian</t>
  </si>
  <si>
    <t>Ruskan</t>
  </si>
  <si>
    <t>Dawon</t>
  </si>
  <si>
    <t>Dimasa</t>
  </si>
  <si>
    <t>Karbi</t>
  </si>
  <si>
    <t>Rabari</t>
  </si>
  <si>
    <t>Sasquatch</t>
  </si>
  <si>
    <t>Sora</t>
  </si>
  <si>
    <t>Vanaran</t>
  </si>
  <si>
    <t>Mylae</t>
  </si>
  <si>
    <t>Jhavanese</t>
  </si>
  <si>
    <t>Madyrese</t>
  </si>
  <si>
    <t>Culhuan</t>
  </si>
  <si>
    <t>Nagan</t>
  </si>
  <si>
    <t>Eldaran</t>
  </si>
  <si>
    <t>Eloran</t>
  </si>
  <si>
    <t>Quenchan</t>
  </si>
  <si>
    <t>Terranovan Drow</t>
  </si>
  <si>
    <t>Tenochan</t>
  </si>
  <si>
    <t>Fossegrim</t>
  </si>
  <si>
    <t>Pixie</t>
  </si>
  <si>
    <t>Sylphine</t>
  </si>
  <si>
    <t>Doppelganger</t>
  </si>
  <si>
    <t>Medusa</t>
  </si>
  <si>
    <t>Gnomish</t>
  </si>
  <si>
    <t>Cloud Giant</t>
  </si>
  <si>
    <t>Fire Giant</t>
  </si>
  <si>
    <t>Frost Giant</t>
  </si>
  <si>
    <t>Stone Giant</t>
  </si>
  <si>
    <t>Storm Giant</t>
  </si>
  <si>
    <t>Titan</t>
  </si>
  <si>
    <t>Bandito</t>
  </si>
  <si>
    <t>Old Draconic</t>
  </si>
  <si>
    <t>Archaic, Elvic</t>
  </si>
  <si>
    <t>Dravidic, Elvic</t>
  </si>
  <si>
    <t>Elvic, Elvidic</t>
  </si>
  <si>
    <t>Dwarvic, Gnomic</t>
  </si>
  <si>
    <t>Draconic, Herpetic</t>
  </si>
  <si>
    <t>Dwarvidic, Littoral</t>
  </si>
  <si>
    <t>Low Gigantic, Orcal</t>
  </si>
  <si>
    <t>Ellenic, Panic</t>
  </si>
  <si>
    <t>Gnomic, Perfidic</t>
  </si>
  <si>
    <t>Draconic, Protonic</t>
  </si>
  <si>
    <t>Archaic, Elvic, Protonic</t>
  </si>
  <si>
    <t>Custom/New language</t>
  </si>
  <si>
    <t>of 90 or 2D10+79</t>
  </si>
  <si>
    <t>Starting Stats Total Allocated:</t>
  </si>
  <si>
    <t>Roll D100 or choose 01-80.</t>
  </si>
  <si>
    <t>Roll D10 or choose.</t>
  </si>
  <si>
    <t>Current Cash Balance (sp)</t>
  </si>
  <si>
    <t>Current XP Balance</t>
  </si>
  <si>
    <t>Copper</t>
  </si>
  <si>
    <t>Silver</t>
  </si>
  <si>
    <t>Gold</t>
  </si>
  <si>
    <t>TS</t>
  </si>
  <si>
    <t>Total sp</t>
  </si>
  <si>
    <t>Total SP Earned</t>
  </si>
  <si>
    <t>Racial EM</t>
  </si>
  <si>
    <t>Total XP Earned</t>
  </si>
  <si>
    <t>Date</t>
  </si>
  <si>
    <t>Income (sp)</t>
  </si>
  <si>
    <t>Expense (sp)</t>
  </si>
  <si>
    <t>XP Spent</t>
  </si>
  <si>
    <t>Ranking</t>
  </si>
  <si>
    <t>01/01/820</t>
  </si>
  <si>
    <t>Racial EM:</t>
  </si>
  <si>
    <t>Character Generation</t>
  </si>
  <si>
    <t>Adventure X</t>
  </si>
  <si>
    <t>XP &amp; SP Log - After an adventure and after ranking, enter the amounts earned and spent into the log, this then flows through to the ranking sheet.</t>
  </si>
  <si>
    <t>adj*</t>
  </si>
  <si>
    <t xml:space="preserve">Ranking  - automatically finds your current ranks and works out your costs. </t>
  </si>
  <si>
    <t>XP Earned</t>
  </si>
  <si>
    <t>NB XP earned is after any EM</t>
  </si>
  <si>
    <t>Coin Converter &amp; EM Calculator</t>
  </si>
  <si>
    <t>Skills includes most of the standard skills. Best to leave them all there in case you want to learn them later.</t>
  </si>
  <si>
    <t>Character generation</t>
  </si>
  <si>
    <t>Summer 820</t>
  </si>
  <si>
    <t>Autumn 820</t>
  </si>
  <si>
    <t>Raw XP (before EM):</t>
  </si>
  <si>
    <t>Westron</t>
  </si>
  <si>
    <t>Literacy (scripts)</t>
  </si>
  <si>
    <t>Akinrosi</t>
  </si>
  <si>
    <t>b</t>
  </si>
  <si>
    <t>d</t>
  </si>
  <si>
    <t>e</t>
  </si>
  <si>
    <t>i</t>
  </si>
  <si>
    <t>k</t>
  </si>
  <si>
    <t>n</t>
  </si>
  <si>
    <t>o</t>
  </si>
  <si>
    <t>r</t>
  </si>
  <si>
    <t>w</t>
  </si>
  <si>
    <t>Custom/New script</t>
  </si>
  <si>
    <t>Alusian Alphabets</t>
  </si>
  <si>
    <t>Bedouin</t>
  </si>
  <si>
    <t>Script (human, flowing, cursive).</t>
  </si>
  <si>
    <t>Drakonic</t>
  </si>
  <si>
    <t>Script</t>
  </si>
  <si>
    <t>Island</t>
  </si>
  <si>
    <t>used near the land-locked ocean</t>
  </si>
  <si>
    <t>Kingdom</t>
  </si>
  <si>
    <t>used near the Azurian Empire</t>
  </si>
  <si>
    <t>Mer</t>
  </si>
  <si>
    <t>suited to underwater use</t>
  </si>
  <si>
    <t>elaborate, but versatile</t>
  </si>
  <si>
    <t>Ogham</t>
  </si>
  <si>
    <t>human, rune-like</t>
  </si>
  <si>
    <t>Runes</t>
  </si>
  <si>
    <t>usual Western human alphabet, also adopted by many newly literate societies</t>
  </si>
  <si>
    <t>Written</t>
  </si>
  <si>
    <t>o,w</t>
  </si>
  <si>
    <t>o,e</t>
  </si>
  <si>
    <t>i,k,w</t>
  </si>
  <si>
    <t>i,*</t>
  </si>
  <si>
    <t>b,n</t>
  </si>
  <si>
    <t>e,w</t>
  </si>
  <si>
    <t>Troubadour</t>
  </si>
  <si>
    <t>Stone to Flesh or Flesh to Stone</t>
  </si>
  <si>
    <t>Situational Dice Modifiers</t>
  </si>
  <si>
    <t>SC% Mod</t>
  </si>
  <si>
    <t>Dice Mod:</t>
  </si>
  <si>
    <t>(Lesser &amp; Situational)</t>
  </si>
  <si>
    <t>Front</t>
  </si>
  <si>
    <t>% Roll</t>
  </si>
  <si>
    <t>D10(s)</t>
  </si>
  <si>
    <t>Hit By</t>
  </si>
  <si>
    <t>Dmg</t>
  </si>
  <si>
    <t>Def EN</t>
  </si>
  <si>
    <t>Def SG</t>
  </si>
  <si>
    <t>Mod % Roll</t>
  </si>
  <si>
    <t>EN %</t>
  </si>
  <si>
    <t>SG %</t>
  </si>
  <si>
    <t>Hex-Facing Modifiers:</t>
  </si>
  <si>
    <t>Dice Mod</t>
  </si>
  <si>
    <t>Damage</t>
  </si>
  <si>
    <t>Melee:</t>
  </si>
  <si>
    <t>Flank</t>
  </si>
  <si>
    <t>Rear</t>
  </si>
  <si>
    <t>Surprise Front</t>
  </si>
  <si>
    <t>Surprise Flank</t>
  </si>
  <si>
    <t>Surprise Rear</t>
  </si>
  <si>
    <t>Close:</t>
  </si>
  <si>
    <t>Effective:</t>
  </si>
  <si>
    <t>Ranged:</t>
  </si>
  <si>
    <t>Crossbow (2)</t>
  </si>
  <si>
    <t>Tired</t>
  </si>
  <si>
    <t>FT Dmg</t>
  </si>
  <si>
    <t>EN Dmg</t>
  </si>
  <si>
    <t>SG Dmg</t>
  </si>
  <si>
    <t>FT Drain</t>
  </si>
  <si>
    <t>EN Drain</t>
  </si>
  <si>
    <t>Running Total</t>
  </si>
  <si>
    <t>Tired/Spell Casting</t>
  </si>
  <si>
    <t>10/20 Gut Busters x</t>
  </si>
  <si>
    <t>Wounds:</t>
  </si>
  <si>
    <t>Guild Healing Potions (10pt)</t>
  </si>
  <si>
    <t>Trollskin (pulses) x</t>
  </si>
  <si>
    <t>BETA</t>
  </si>
  <si>
    <t>This tab should be considered in Beta mode, still working out the bugs and design flaws</t>
  </si>
  <si>
    <t>It is designed to help with combat, doing the lookups and math so you just enter your dice rolls and any situational modifiers.</t>
  </si>
  <si>
    <t>Also trialling the Damage Tracking</t>
  </si>
  <si>
    <t>For the strike rolls, it will display the amount of defence required for it not to be a SG/EN/Hit</t>
  </si>
  <si>
    <t>1 object or all possessions on entity</t>
  </si>
  <si>
    <t>Paliano</t>
  </si>
  <si>
    <t>Tuscan</t>
  </si>
  <si>
    <t>Romanza</t>
  </si>
  <si>
    <t>Titanic, Romanza</t>
  </si>
  <si>
    <t>Romanza, Elvidic</t>
  </si>
  <si>
    <t>Northern Human</t>
  </si>
  <si>
    <t>Ivinian</t>
  </si>
  <si>
    <t>Yarili</t>
  </si>
  <si>
    <t>Equipped Shield</t>
  </si>
  <si>
    <t>In Use?</t>
  </si>
  <si>
    <t>v2022.06.15</t>
  </si>
  <si>
    <t>Parry:</t>
  </si>
  <si>
    <t>Parry</t>
  </si>
  <si>
    <t>FT Recovery (per hour or meal)</t>
  </si>
  <si>
    <t>FT per hour of Sleep</t>
  </si>
  <si>
    <t>Hours sleep to recover full FT: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</si>
</sst>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##,###"/>
    <numFmt numFmtId="165" formatCode="#,##0_ ;[Red]\-#,##0\ "/>
    <numFmt numFmtId="166" formatCode="\+#,##0;\-#,##0"/>
    <numFmt numFmtId="167" formatCode="_-* #,##0_-;\-* #,##0_-;_-* &quot;-&quot;??_-;_-@_-"/>
    <numFmt numFmtId="168" formatCode="0.0"/>
    <numFmt numFmtId="169" formatCode="#,##0.0"/>
    <numFmt numFmtId="170" formatCode="#"/>
  </numFmts>
  <fonts count="42" x14ac:knownFonts="1">
    <font>
      <sz val="10"/>
      <name val="Arial"/>
    </font>
    <font>
      <sz val="9"/>
      <name val="Arial"/>
      <family val="2"/>
    </font>
    <font>
      <sz val="10"/>
      <name val="MS Sans Serif"/>
    </font>
    <font>
      <sz val="8"/>
      <name val="Arial"/>
      <family val="2"/>
    </font>
    <font>
      <b/>
      <sz val="10"/>
      <name val="Times New Roman"/>
      <family val="1"/>
    </font>
    <font>
      <i/>
      <sz val="10"/>
      <name val="Arial"/>
      <family val="2"/>
    </font>
    <font>
      <b/>
      <sz val="10"/>
      <name val="Arial"/>
      <family val="2"/>
    </font>
    <font>
      <i/>
      <sz val="9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9"/>
      <color indexed="23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name val="Times New Roman"/>
      <family val="1"/>
    </font>
    <font>
      <b/>
      <sz val="12"/>
      <name val="Arial"/>
      <family val="2"/>
    </font>
    <font>
      <sz val="8"/>
      <name val="Times New Roman"/>
      <family val="1"/>
    </font>
    <font>
      <i/>
      <sz val="10"/>
      <color indexed="23"/>
      <name val="Arial"/>
      <family val="2"/>
    </font>
    <font>
      <b/>
      <i/>
      <sz val="10"/>
      <name val="Arial"/>
      <family val="2"/>
    </font>
    <font>
      <sz val="10"/>
      <color indexed="23"/>
      <name val="Arial"/>
      <family val="2"/>
    </font>
    <font>
      <sz val="10"/>
      <name val="Times New Roman"/>
      <family val="1"/>
    </font>
    <font>
      <b/>
      <i/>
      <sz val="9"/>
      <name val="Arial"/>
      <family val="2"/>
    </font>
    <font>
      <sz val="10"/>
      <color indexed="23"/>
      <name val="Arial"/>
      <family val="2"/>
    </font>
    <font>
      <b/>
      <sz val="11"/>
      <color theme="1"/>
      <name val="Calibri"/>
      <family val="2"/>
      <scheme val="minor"/>
    </font>
    <font>
      <sz val="9"/>
      <color theme="1" tint="0.499984740745262"/>
      <name val="Arial"/>
      <family val="2"/>
    </font>
    <font>
      <sz val="10"/>
      <name val="Arial"/>
      <family val="2"/>
    </font>
    <font>
      <sz val="10"/>
      <color theme="0" tint="-0.499984740745262"/>
      <name val="Arial"/>
      <family val="2"/>
    </font>
    <font>
      <i/>
      <sz val="9"/>
      <color theme="1" tint="0.499984740745262"/>
      <name val="Arial"/>
      <family val="2"/>
    </font>
    <font>
      <i/>
      <sz val="10"/>
      <name val="Times New Roman"/>
      <family val="1"/>
    </font>
    <font>
      <sz val="10"/>
      <color theme="1" tint="0.34998626667073579"/>
      <name val="Arial"/>
      <family val="2"/>
    </font>
    <font>
      <b/>
      <sz val="10"/>
      <color theme="1" tint="0.34998626667073579"/>
      <name val="Arial"/>
      <family val="2"/>
    </font>
    <font>
      <sz val="9"/>
      <color theme="1" tint="0.34998626667073579"/>
      <name val="Arial"/>
      <family val="2"/>
    </font>
    <font>
      <b/>
      <sz val="9"/>
      <color theme="1" tint="0.34998626667073579"/>
      <name val="Arial"/>
      <family val="2"/>
    </font>
    <font>
      <sz val="8"/>
      <color theme="1" tint="0.249977111117893"/>
      <name val="Arial"/>
      <family val="2"/>
    </font>
    <font>
      <sz val="9"/>
      <color theme="1" tint="0.249977111117893"/>
      <name val="Arial"/>
      <family val="2"/>
    </font>
    <font>
      <b/>
      <sz val="9"/>
      <color theme="1" tint="0.499984740745262"/>
      <name val="Arial"/>
      <family val="2"/>
    </font>
    <font>
      <b/>
      <sz val="9"/>
      <color rgb="FFFF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7"/>
        <bgColor indexed="41"/>
      </patternFill>
    </fill>
    <fill>
      <patternFill patternType="solid">
        <fgColor indexed="15"/>
        <bgColor indexed="35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/>
      <top/>
      <bottom/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55"/>
      </right>
      <top style="thin">
        <color indexed="23"/>
      </top>
      <bottom style="thin">
        <color indexed="55"/>
      </bottom>
      <diagonal/>
    </border>
    <border>
      <left style="thin">
        <color indexed="23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55"/>
      </bottom>
      <diagonal/>
    </border>
    <border>
      <left style="thin">
        <color indexed="55"/>
      </left>
      <right style="thin">
        <color indexed="23"/>
      </right>
      <top style="thin">
        <color indexed="23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23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23"/>
      </bottom>
      <diagonal/>
    </border>
    <border>
      <left style="thin">
        <color indexed="55"/>
      </left>
      <right style="thin">
        <color indexed="23"/>
      </right>
      <top style="thin">
        <color indexed="55"/>
      </top>
      <bottom style="thin">
        <color indexed="2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55"/>
      </right>
      <top style="thin">
        <color indexed="23"/>
      </top>
      <bottom/>
      <diagonal/>
    </border>
    <border>
      <left style="thin">
        <color indexed="23"/>
      </left>
      <right style="thin">
        <color indexed="55"/>
      </right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59"/>
      </left>
      <right/>
      <top style="thin">
        <color indexed="59"/>
      </top>
      <bottom style="thin">
        <color indexed="59"/>
      </bottom>
      <diagonal/>
    </border>
    <border>
      <left/>
      <right style="thin">
        <color indexed="59"/>
      </right>
      <top style="thin">
        <color indexed="59"/>
      </top>
      <bottom style="thin">
        <color indexed="59"/>
      </bottom>
      <diagonal/>
    </border>
    <border>
      <left/>
      <right/>
      <top style="thin">
        <color indexed="59"/>
      </top>
      <bottom style="thin">
        <color indexed="59"/>
      </bottom>
      <diagonal/>
    </border>
    <border>
      <left style="thin">
        <color indexed="59"/>
      </left>
      <right/>
      <top style="thin">
        <color indexed="59"/>
      </top>
      <bottom/>
      <diagonal/>
    </border>
    <border>
      <left/>
      <right/>
      <top style="thin">
        <color indexed="59"/>
      </top>
      <bottom/>
      <diagonal/>
    </border>
    <border>
      <left style="thin">
        <color indexed="59"/>
      </left>
      <right/>
      <top/>
      <bottom/>
      <diagonal/>
    </border>
    <border>
      <left/>
      <right style="thin">
        <color indexed="59"/>
      </right>
      <top/>
      <bottom/>
      <diagonal/>
    </border>
    <border>
      <left style="thin">
        <color indexed="59"/>
      </left>
      <right/>
      <top/>
      <bottom style="thin">
        <color indexed="59"/>
      </bottom>
      <diagonal/>
    </border>
    <border>
      <left/>
      <right/>
      <top/>
      <bottom style="thin">
        <color indexed="59"/>
      </bottom>
      <diagonal/>
    </border>
    <border>
      <left/>
      <right style="thin">
        <color indexed="59"/>
      </right>
      <top/>
      <bottom style="thin">
        <color indexed="59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/>
      <diagonal/>
    </border>
    <border>
      <left style="thin">
        <color indexed="55"/>
      </left>
      <right style="thin">
        <color indexed="23"/>
      </right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55"/>
      </right>
      <top style="thin">
        <color indexed="55"/>
      </top>
      <bottom style="thin">
        <color indexed="23"/>
      </bottom>
      <diagonal/>
    </border>
    <border>
      <left/>
      <right/>
      <top/>
      <bottom style="thin">
        <color indexed="63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499984740745262"/>
      </bottom>
      <diagonal/>
    </border>
    <border>
      <left/>
      <right/>
      <top style="thin">
        <color theme="1" tint="0.34998626667073579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34998626667073579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34998626667073579"/>
      </top>
      <bottom/>
      <diagonal/>
    </border>
    <border>
      <left/>
      <right style="thin">
        <color theme="1" tint="0.499984740745262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34998626667073579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34998626667073579"/>
      </left>
      <right/>
      <top style="thin">
        <color theme="1" tint="0.499984740745262"/>
      </top>
      <bottom style="thin">
        <color theme="1" tint="0.34998626667073579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34998626667073579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34998626667073579"/>
      </bottom>
      <diagonal/>
    </border>
    <border>
      <left style="thin">
        <color theme="1" tint="0.499984740745262"/>
      </left>
      <right/>
      <top/>
      <bottom style="thin">
        <color theme="1" tint="0.34998626667073579"/>
      </bottom>
      <diagonal/>
    </border>
    <border>
      <left/>
      <right style="thin">
        <color theme="1" tint="0.499984740745262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499984740745262"/>
      </right>
      <top style="thin">
        <color theme="1" tint="0.34998626667073579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34998626667073579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34998626667073579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34998626667073579"/>
      </right>
      <top style="thin">
        <color theme="1" tint="0.34998626667073579"/>
      </top>
      <bottom style="thin">
        <color theme="1" tint="0.499984740745262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34998626667073579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34998626667073579"/>
      </left>
      <right/>
      <top/>
      <bottom/>
      <diagonal/>
    </border>
    <border>
      <left style="thin">
        <color theme="1" tint="0.34998626667073579"/>
      </left>
      <right style="thin">
        <color theme="1" tint="0.499984740745262"/>
      </right>
      <top style="thin">
        <color theme="1" tint="0.499984740745262"/>
      </top>
      <bottom style="thin">
        <color theme="1" tint="0.34998626667073579"/>
      </bottom>
      <diagonal/>
    </border>
    <border>
      <left/>
      <right/>
      <top style="thin">
        <color theme="1" tint="0.499984740745262"/>
      </top>
      <bottom style="thin">
        <color theme="1" tint="0.34998626667073579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34998626667073579"/>
      </bottom>
      <diagonal/>
    </border>
    <border>
      <left style="thin">
        <color theme="1" tint="0.499984740745262"/>
      </left>
      <right style="thin">
        <color theme="1" tint="0.34998626667073579"/>
      </right>
      <top style="thin">
        <color theme="1" tint="0.499984740745262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499984740745262"/>
      </top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 style="thin">
        <color indexed="23"/>
      </left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 style="thin">
        <color indexed="64"/>
      </right>
      <top style="thin">
        <color indexed="64"/>
      </top>
      <bottom/>
      <diagonal/>
    </border>
    <border>
      <left style="thin">
        <color indexed="55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59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/>
      <diagonal/>
    </border>
    <border>
      <left/>
      <right style="thin">
        <color indexed="55"/>
      </right>
      <top style="thin">
        <color indexed="23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23"/>
      </bottom>
      <diagonal/>
    </border>
  </borders>
  <cellStyleXfs count="8">
    <xf numFmtId="0" fontId="0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30" fillId="0" borderId="0" applyFont="0" applyFill="0" applyBorder="0" applyAlignment="0" applyProtection="0"/>
    <xf numFmtId="0" fontId="8" fillId="0" borderId="0"/>
  </cellStyleXfs>
  <cellXfs count="841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0" fontId="9" fillId="2" borderId="3" xfId="0" applyFont="1" applyFill="1" applyBorder="1" applyAlignment="1">
      <alignment horizontal="centerContinuous"/>
    </xf>
    <xf numFmtId="0" fontId="9" fillId="2" borderId="4" xfId="0" applyFont="1" applyFill="1" applyBorder="1" applyAlignment="1">
      <alignment horizontal="centerContinuous"/>
    </xf>
    <xf numFmtId="0" fontId="0" fillId="2" borderId="5" xfId="0" applyFill="1" applyBorder="1" applyAlignment="1">
      <alignment horizontal="centerContinuous"/>
    </xf>
    <xf numFmtId="0" fontId="0" fillId="2" borderId="4" xfId="0" applyFill="1" applyBorder="1" applyAlignment="1">
      <alignment horizontal="centerContinuous"/>
    </xf>
    <xf numFmtId="0" fontId="10" fillId="0" borderId="6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0" xfId="0" applyFont="1" applyBorder="1" applyAlignment="1"/>
    <xf numFmtId="0" fontId="10" fillId="0" borderId="7" xfId="0" applyFont="1" applyBorder="1" applyAlignment="1"/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7" xfId="0" applyBorder="1"/>
    <xf numFmtId="0" fontId="6" fillId="0" borderId="6" xfId="0" applyFont="1" applyFill="1" applyBorder="1" applyAlignment="1">
      <alignment horizontal="center"/>
    </xf>
    <xf numFmtId="0" fontId="11" fillId="0" borderId="0" xfId="0" applyFont="1" applyBorder="1"/>
    <xf numFmtId="0" fontId="11" fillId="0" borderId="7" xfId="0" applyFont="1" applyBorder="1"/>
    <xf numFmtId="0" fontId="6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8" fillId="0" borderId="0" xfId="0" applyFont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8" fillId="3" borderId="0" xfId="0" applyFont="1" applyFill="1" applyAlignment="1">
      <alignment horizontal="center"/>
    </xf>
    <xf numFmtId="0" fontId="14" fillId="0" borderId="0" xfId="0" applyFont="1"/>
    <xf numFmtId="0" fontId="1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4" borderId="11" xfId="0" applyFont="1" applyFill="1" applyBorder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12" xfId="0" quotePrefix="1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4" borderId="12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0" borderId="0" xfId="5" applyFont="1"/>
    <xf numFmtId="0" fontId="1" fillId="0" borderId="0" xfId="5" applyFont="1" applyAlignment="1">
      <alignment horizontal="center"/>
    </xf>
    <xf numFmtId="0" fontId="16" fillId="0" borderId="0" xfId="5" applyFont="1"/>
    <xf numFmtId="0" fontId="16" fillId="0" borderId="0" xfId="5" applyFont="1" applyAlignment="1">
      <alignment horizontal="center"/>
    </xf>
    <xf numFmtId="0" fontId="1" fillId="0" borderId="13" xfId="0" applyFont="1" applyBorder="1" applyAlignment="1">
      <alignment vertical="center"/>
    </xf>
    <xf numFmtId="0" fontId="1" fillId="4" borderId="14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right"/>
    </xf>
    <xf numFmtId="0" fontId="12" fillId="4" borderId="0" xfId="0" applyFont="1" applyFill="1" applyAlignment="1">
      <alignment horizontal="center"/>
    </xf>
    <xf numFmtId="0" fontId="12" fillId="0" borderId="0" xfId="0" applyFont="1"/>
    <xf numFmtId="0" fontId="11" fillId="0" borderId="0" xfId="0" applyFont="1" applyAlignment="1">
      <alignment horizontal="right"/>
    </xf>
    <xf numFmtId="0" fontId="18" fillId="0" borderId="0" xfId="0" applyFont="1" applyAlignment="1">
      <alignment horizontal="right" vertical="center" indent="1"/>
    </xf>
    <xf numFmtId="0" fontId="18" fillId="0" borderId="0" xfId="3" applyFont="1" applyBorder="1" applyAlignment="1">
      <alignment horizontal="right" indent="1"/>
    </xf>
    <xf numFmtId="0" fontId="17" fillId="0" borderId="0" xfId="0" applyFont="1"/>
    <xf numFmtId="0" fontId="1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15" fillId="5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center" vertical="top"/>
    </xf>
    <xf numFmtId="0" fontId="14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9" fillId="7" borderId="16" xfId="2" applyFont="1" applyFill="1" applyBorder="1" applyAlignment="1"/>
    <xf numFmtId="0" fontId="1" fillId="7" borderId="17" xfId="2" applyFont="1" applyFill="1" applyBorder="1" applyAlignment="1">
      <alignment horizontal="center" wrapText="1"/>
    </xf>
    <xf numFmtId="0" fontId="1" fillId="0" borderId="0" xfId="2" applyFont="1" applyAlignment="1">
      <alignment horizontal="center" wrapText="1"/>
    </xf>
    <xf numFmtId="0" fontId="1" fillId="0" borderId="0" xfId="2" quotePrefix="1" applyFont="1" applyAlignment="1">
      <alignment horizontal="center" wrapText="1"/>
    </xf>
    <xf numFmtId="0" fontId="1" fillId="0" borderId="0" xfId="4" applyFont="1" applyAlignment="1">
      <alignment horizontal="center" wrapText="1"/>
    </xf>
    <xf numFmtId="3" fontId="1" fillId="0" borderId="0" xfId="2" applyNumberFormat="1" applyFont="1" applyAlignment="1">
      <alignment horizontal="right" wrapText="1"/>
    </xf>
    <xf numFmtId="0" fontId="1" fillId="0" borderId="0" xfId="2" applyFont="1" applyAlignment="1">
      <alignment horizontal="left"/>
    </xf>
    <xf numFmtId="0" fontId="1" fillId="0" borderId="0" xfId="2" applyFont="1" applyAlignment="1">
      <alignment horizontal="center"/>
    </xf>
    <xf numFmtId="164" fontId="1" fillId="0" borderId="0" xfId="2" applyNumberFormat="1" applyFont="1" applyAlignment="1">
      <alignment horizontal="center" vertical="center"/>
    </xf>
    <xf numFmtId="0" fontId="1" fillId="0" borderId="0" xfId="2" applyFont="1" applyAlignment="1">
      <alignment horizontal="right"/>
    </xf>
    <xf numFmtId="3" fontId="1" fillId="0" borderId="0" xfId="2" applyNumberFormat="1" applyFont="1" applyAlignment="1">
      <alignment horizontal="right"/>
    </xf>
    <xf numFmtId="0" fontId="1" fillId="0" borderId="0" xfId="2" applyFont="1" applyAlignment="1">
      <alignment horizontal="center" vertical="center"/>
    </xf>
    <xf numFmtId="12" fontId="1" fillId="0" borderId="0" xfId="2" applyNumberFormat="1" applyFont="1" applyAlignment="1" applyProtection="1">
      <alignment horizontal="center" vertical="center"/>
    </xf>
    <xf numFmtId="0" fontId="1" fillId="0" borderId="0" xfId="4" applyFont="1" applyAlignment="1">
      <alignment horizontal="center"/>
    </xf>
    <xf numFmtId="0" fontId="1" fillId="0" borderId="0" xfId="2" applyFont="1" applyAlignment="1">
      <alignment horizontal="left" vertical="center"/>
    </xf>
    <xf numFmtId="12" fontId="1" fillId="0" borderId="0" xfId="2" applyNumberFormat="1" applyFont="1" applyAlignment="1">
      <alignment horizontal="center" vertical="center"/>
    </xf>
    <xf numFmtId="0" fontId="1" fillId="0" borderId="0" xfId="2" applyFont="1" applyAlignment="1">
      <alignment horizontal="center" vertical="center" wrapText="1"/>
    </xf>
    <xf numFmtId="0" fontId="1" fillId="0" borderId="0" xfId="2" applyFont="1" applyBorder="1" applyAlignment="1">
      <alignment horizontal="center" vertical="center"/>
    </xf>
    <xf numFmtId="3" fontId="1" fillId="0" borderId="0" xfId="2" applyNumberFormat="1" applyFont="1" applyAlignment="1">
      <alignment horizontal="right" vertical="center"/>
    </xf>
    <xf numFmtId="0" fontId="1" fillId="0" borderId="0" xfId="2" applyFont="1" applyAlignment="1">
      <alignment vertical="center"/>
    </xf>
    <xf numFmtId="0" fontId="1" fillId="0" borderId="0" xfId="2" applyFont="1" applyAlignment="1">
      <alignment horizontal="right" vertical="center"/>
    </xf>
    <xf numFmtId="0" fontId="1" fillId="0" borderId="0" xfId="2" applyFont="1" applyBorder="1" applyAlignment="1">
      <alignment horizontal="center"/>
    </xf>
    <xf numFmtId="0" fontId="12" fillId="0" borderId="13" xfId="2" applyFont="1" applyBorder="1" applyAlignment="1"/>
    <xf numFmtId="0" fontId="12" fillId="0" borderId="13" xfId="2" applyFont="1" applyBorder="1" applyAlignment="1">
      <alignment vertical="center"/>
    </xf>
    <xf numFmtId="164" fontId="1" fillId="7" borderId="17" xfId="2" applyNumberFormat="1" applyFont="1" applyFill="1" applyBorder="1" applyAlignment="1">
      <alignment horizontal="center" wrapText="1"/>
    </xf>
    <xf numFmtId="0" fontId="18" fillId="0" borderId="2" xfId="3" applyFont="1" applyBorder="1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20" fillId="0" borderId="0" xfId="0" applyFont="1" applyFill="1" applyAlignment="1" applyProtection="1">
      <alignment vertical="center"/>
      <protection locked="0"/>
    </xf>
    <xf numFmtId="0" fontId="8" fillId="8" borderId="0" xfId="0" applyFont="1" applyFill="1" applyAlignment="1" applyProtection="1">
      <alignment horizontal="center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8" fillId="0" borderId="0" xfId="0" applyFont="1" applyFill="1"/>
    <xf numFmtId="0" fontId="6" fillId="8" borderId="0" xfId="3" applyFont="1" applyFill="1" applyBorder="1" applyAlignment="1">
      <alignment horizontal="center"/>
    </xf>
    <xf numFmtId="0" fontId="5" fillId="8" borderId="0" xfId="0" applyFont="1" applyFill="1" applyProtection="1">
      <protection locked="0"/>
    </xf>
    <xf numFmtId="0" fontId="1" fillId="9" borderId="0" xfId="0" applyFont="1" applyFill="1" applyAlignment="1" applyProtection="1">
      <alignment horizontal="center" vertical="center"/>
      <protection locked="0"/>
    </xf>
    <xf numFmtId="0" fontId="14" fillId="8" borderId="0" xfId="0" applyFont="1" applyFill="1" applyAlignment="1">
      <alignment horizontal="right" vertical="center"/>
    </xf>
    <xf numFmtId="0" fontId="14" fillId="8" borderId="0" xfId="0" applyFont="1" applyFill="1" applyAlignment="1">
      <alignment horizontal="center"/>
    </xf>
    <xf numFmtId="0" fontId="1" fillId="8" borderId="0" xfId="0" applyFont="1" applyFill="1"/>
    <xf numFmtId="0" fontId="1" fillId="8" borderId="0" xfId="0" applyFont="1" applyFill="1" applyAlignment="1">
      <alignment horizontal="center"/>
    </xf>
    <xf numFmtId="0" fontId="1" fillId="8" borderId="0" xfId="0" applyFont="1" applyFill="1" applyAlignment="1">
      <alignment vertical="center"/>
    </xf>
    <xf numFmtId="0" fontId="1" fillId="8" borderId="0" xfId="0" applyFont="1" applyFill="1" applyAlignment="1">
      <alignment horizontal="center" vertical="center"/>
    </xf>
    <xf numFmtId="0" fontId="1" fillId="8" borderId="0" xfId="5" applyFont="1" applyFill="1" applyAlignment="1">
      <alignment horizontal="center" wrapText="1"/>
    </xf>
    <xf numFmtId="0" fontId="1" fillId="8" borderId="0" xfId="5" applyFont="1" applyFill="1" applyAlignment="1">
      <alignment vertical="center"/>
    </xf>
    <xf numFmtId="0" fontId="1" fillId="8" borderId="0" xfId="5" applyFont="1" applyFill="1" applyAlignment="1">
      <alignment horizontal="center" vertical="center"/>
    </xf>
    <xf numFmtId="0" fontId="8" fillId="9" borderId="0" xfId="0" applyFont="1" applyFill="1" applyAlignment="1" applyProtection="1">
      <alignment horizontal="center"/>
      <protection locked="0"/>
    </xf>
    <xf numFmtId="0" fontId="6" fillId="8" borderId="0" xfId="0" applyFont="1" applyFill="1"/>
    <xf numFmtId="0" fontId="6" fillId="8" borderId="0" xfId="3" applyFont="1" applyFill="1" applyBorder="1" applyAlignment="1">
      <alignment horizontal="right" indent="1"/>
    </xf>
    <xf numFmtId="0" fontId="0" fillId="8" borderId="0" xfId="0" applyFill="1"/>
    <xf numFmtId="0" fontId="4" fillId="8" borderId="0" xfId="3" applyFont="1" applyFill="1" applyBorder="1" applyAlignment="1">
      <alignment horizontal="center"/>
    </xf>
    <xf numFmtId="0" fontId="7" fillId="8" borderId="0" xfId="0" applyFont="1" applyFill="1" applyAlignment="1">
      <alignment horizontal="right"/>
    </xf>
    <xf numFmtId="0" fontId="5" fillId="8" borderId="0" xfId="0" applyFont="1" applyFill="1" applyAlignment="1">
      <alignment horizontal="right" vertical="center"/>
    </xf>
    <xf numFmtId="0" fontId="6" fillId="8" borderId="0" xfId="0" applyFont="1" applyFill="1" applyAlignment="1">
      <alignment horizontal="center" vertical="center"/>
    </xf>
    <xf numFmtId="164" fontId="1" fillId="8" borderId="0" xfId="2" applyNumberFormat="1" applyFont="1" applyFill="1" applyAlignment="1">
      <alignment horizontal="center" vertical="center"/>
    </xf>
    <xf numFmtId="0" fontId="1" fillId="9" borderId="0" xfId="2" applyFont="1" applyFill="1" applyAlignment="1">
      <alignment horizontal="center"/>
    </xf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center" vertical="center"/>
    </xf>
    <xf numFmtId="0" fontId="14" fillId="10" borderId="19" xfId="0" applyFont="1" applyFill="1" applyBorder="1" applyAlignment="1">
      <alignment vertical="center"/>
    </xf>
    <xf numFmtId="0" fontId="1" fillId="10" borderId="15" xfId="0" applyFont="1" applyFill="1" applyBorder="1" applyAlignment="1">
      <alignment horizontal="center" vertical="center"/>
    </xf>
    <xf numFmtId="0" fontId="1" fillId="10" borderId="20" xfId="0" applyFont="1" applyFill="1" applyBorder="1" applyAlignment="1">
      <alignment vertical="center"/>
    </xf>
    <xf numFmtId="0" fontId="1" fillId="8" borderId="17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1" fillId="9" borderId="17" xfId="0" applyFont="1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>
      <alignment horizontal="center" vertical="center"/>
    </xf>
    <xf numFmtId="164" fontId="1" fillId="8" borderId="0" xfId="0" applyNumberFormat="1" applyFont="1" applyFill="1" applyAlignment="1">
      <alignment horizontal="center" vertical="center"/>
    </xf>
    <xf numFmtId="0" fontId="7" fillId="8" borderId="0" xfId="0" applyFont="1" applyFill="1" applyAlignment="1">
      <alignment horizontal="right" vertical="center"/>
    </xf>
    <xf numFmtId="0" fontId="15" fillId="8" borderId="0" xfId="0" applyFont="1" applyFill="1" applyAlignment="1">
      <alignment horizontal="left" vertical="center"/>
    </xf>
    <xf numFmtId="0" fontId="15" fillId="8" borderId="0" xfId="0" applyFont="1" applyFill="1" applyAlignment="1">
      <alignment horizontal="center"/>
    </xf>
    <xf numFmtId="0" fontId="1" fillId="8" borderId="0" xfId="0" quotePrefix="1" applyFont="1" applyFill="1" applyAlignment="1">
      <alignment horizontal="left" vertical="center"/>
    </xf>
    <xf numFmtId="0" fontId="14" fillId="8" borderId="0" xfId="0" applyFont="1" applyFill="1" applyAlignment="1">
      <alignment vertical="center"/>
    </xf>
    <xf numFmtId="0" fontId="1" fillId="8" borderId="0" xfId="0" quotePrefix="1" applyFont="1" applyFill="1" applyAlignment="1">
      <alignment horizontal="center" vertical="center"/>
    </xf>
    <xf numFmtId="0" fontId="14" fillId="8" borderId="0" xfId="0" applyFont="1" applyFill="1" applyAlignment="1">
      <alignment horizontal="right"/>
    </xf>
    <xf numFmtId="0" fontId="1" fillId="8" borderId="0" xfId="0" applyFont="1" applyFill="1" applyAlignment="1"/>
    <xf numFmtId="0" fontId="15" fillId="8" borderId="0" xfId="0" applyFont="1" applyFill="1" applyAlignment="1">
      <alignment horizontal="center" vertical="top"/>
    </xf>
    <xf numFmtId="0" fontId="14" fillId="8" borderId="0" xfId="0" applyFont="1" applyFill="1"/>
    <xf numFmtId="0" fontId="1" fillId="0" borderId="14" xfId="2" applyFont="1" applyBorder="1" applyAlignment="1">
      <alignment horizontal="center"/>
    </xf>
    <xf numFmtId="12" fontId="1" fillId="0" borderId="0" xfId="2" applyNumberFormat="1" applyFont="1" applyAlignment="1">
      <alignment horizontal="center"/>
    </xf>
    <xf numFmtId="164" fontId="1" fillId="0" borderId="0" xfId="2" applyNumberFormat="1" applyFont="1" applyBorder="1" applyAlignment="1">
      <alignment horizontal="center"/>
    </xf>
    <xf numFmtId="164" fontId="1" fillId="0" borderId="14" xfId="2" applyNumberFormat="1" applyFont="1" applyBorder="1" applyAlignment="1">
      <alignment horizontal="center"/>
    </xf>
    <xf numFmtId="0" fontId="0" fillId="0" borderId="0" xfId="0" applyFill="1"/>
    <xf numFmtId="0" fontId="14" fillId="8" borderId="0" xfId="0" applyFont="1" applyFill="1" applyAlignment="1">
      <alignment horizontal="left"/>
    </xf>
    <xf numFmtId="0" fontId="0" fillId="8" borderId="0" xfId="0" applyFill="1" applyAlignment="1">
      <alignment horizontal="center"/>
    </xf>
    <xf numFmtId="0" fontId="1" fillId="9" borderId="0" xfId="0" applyFont="1" applyFill="1" applyAlignment="1" applyProtection="1">
      <alignment vertical="center"/>
      <protection locked="0"/>
    </xf>
    <xf numFmtId="0" fontId="1" fillId="6" borderId="0" xfId="0" applyFont="1" applyFill="1" applyAlignment="1" applyProtection="1">
      <alignment horizontal="center" vertical="center"/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7" borderId="22" xfId="0" applyFont="1" applyFill="1" applyBorder="1" applyAlignment="1">
      <alignment horizontal="center" vertical="center"/>
    </xf>
    <xf numFmtId="0" fontId="1" fillId="7" borderId="22" xfId="0" quotePrefix="1" applyFont="1" applyFill="1" applyBorder="1" applyAlignment="1">
      <alignment horizontal="left" vertical="center"/>
    </xf>
    <xf numFmtId="0" fontId="14" fillId="0" borderId="22" xfId="0" applyFont="1" applyBorder="1" applyAlignment="1">
      <alignment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23" xfId="0" quotePrefix="1" applyFont="1" applyFill="1" applyBorder="1" applyAlignment="1">
      <alignment horizontal="center" vertical="center"/>
    </xf>
    <xf numFmtId="0" fontId="5" fillId="4" borderId="24" xfId="0" applyFont="1" applyFill="1" applyBorder="1" applyProtection="1">
      <protection locked="0"/>
    </xf>
    <xf numFmtId="0" fontId="5" fillId="4" borderId="25" xfId="0" applyFont="1" applyFill="1" applyBorder="1" applyProtection="1">
      <protection locked="0"/>
    </xf>
    <xf numFmtId="0" fontId="5" fillId="4" borderId="25" xfId="0" applyFont="1" applyFill="1" applyBorder="1"/>
    <xf numFmtId="164" fontId="1" fillId="0" borderId="26" xfId="0" applyNumberFormat="1" applyFont="1" applyFill="1" applyBorder="1" applyAlignment="1">
      <alignment horizontal="center"/>
    </xf>
    <xf numFmtId="164" fontId="1" fillId="0" borderId="27" xfId="0" applyNumberFormat="1" applyFont="1" applyFill="1" applyBorder="1" applyAlignment="1">
      <alignment horizontal="center"/>
    </xf>
    <xf numFmtId="164" fontId="1" fillId="0" borderId="28" xfId="0" applyNumberFormat="1" applyFont="1" applyFill="1" applyBorder="1" applyAlignment="1">
      <alignment horizontal="center"/>
    </xf>
    <xf numFmtId="164" fontId="1" fillId="0" borderId="29" xfId="0" applyNumberFormat="1" applyFont="1" applyFill="1" applyBorder="1" applyAlignment="1">
      <alignment horizontal="center"/>
    </xf>
    <xf numFmtId="164" fontId="1" fillId="0" borderId="30" xfId="0" applyNumberFormat="1" applyFont="1" applyFill="1" applyBorder="1" applyAlignment="1">
      <alignment horizontal="center"/>
    </xf>
    <xf numFmtId="164" fontId="1" fillId="0" borderId="31" xfId="0" applyNumberFormat="1" applyFont="1" applyFill="1" applyBorder="1" applyAlignment="1">
      <alignment horizontal="center"/>
    </xf>
    <xf numFmtId="0" fontId="1" fillId="9" borderId="0" xfId="0" applyFont="1" applyFill="1" applyAlignment="1">
      <alignment horizontal="center" vertical="center"/>
    </xf>
    <xf numFmtId="0" fontId="1" fillId="9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1" fillId="9" borderId="18" xfId="0" applyFont="1" applyFill="1" applyBorder="1" applyAlignment="1">
      <alignment vertical="center"/>
    </xf>
    <xf numFmtId="0" fontId="1" fillId="6" borderId="13" xfId="0" applyFont="1" applyFill="1" applyBorder="1" applyAlignment="1">
      <alignment vertical="center"/>
    </xf>
    <xf numFmtId="0" fontId="1" fillId="6" borderId="18" xfId="0" applyFont="1" applyFill="1" applyBorder="1" applyAlignment="1">
      <alignment vertical="center"/>
    </xf>
    <xf numFmtId="0" fontId="1" fillId="9" borderId="13" xfId="0" applyFont="1" applyFill="1" applyBorder="1" applyAlignment="1">
      <alignment vertical="center"/>
    </xf>
    <xf numFmtId="0" fontId="1" fillId="8" borderId="0" xfId="0" applyFont="1" applyFill="1" applyAlignment="1" applyProtection="1">
      <alignment vertical="center"/>
      <protection locked="0"/>
    </xf>
    <xf numFmtId="0" fontId="1" fillId="0" borderId="0" xfId="2" quotePrefix="1" applyFont="1" applyAlignment="1">
      <alignment horizontal="center"/>
    </xf>
    <xf numFmtId="0" fontId="21" fillId="0" borderId="0" xfId="2" applyFont="1" applyAlignment="1">
      <alignment horizontal="center" vertical="center" shrinkToFit="1"/>
    </xf>
    <xf numFmtId="0" fontId="21" fillId="0" borderId="0" xfId="2" applyFont="1" applyAlignment="1">
      <alignment horizontal="center" vertical="center"/>
    </xf>
    <xf numFmtId="0" fontId="1" fillId="8" borderId="0" xfId="0" applyFont="1" applyFill="1" applyAlignment="1" applyProtection="1">
      <alignment horizontal="center" vertical="center"/>
      <protection locked="0"/>
    </xf>
    <xf numFmtId="0" fontId="14" fillId="11" borderId="15" xfId="0" applyFont="1" applyFill="1" applyBorder="1" applyAlignment="1">
      <alignment horizontal="center" vertical="center"/>
    </xf>
    <xf numFmtId="0" fontId="14" fillId="11" borderId="15" xfId="0" applyFont="1" applyFill="1" applyBorder="1" applyAlignment="1">
      <alignment vertical="center"/>
    </xf>
    <xf numFmtId="0" fontId="1" fillId="11" borderId="15" xfId="2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7" fillId="0" borderId="2" xfId="3" applyFont="1" applyBorder="1" applyAlignment="1">
      <alignment horizontal="center"/>
    </xf>
    <xf numFmtId="0" fontId="1" fillId="9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/>
    </xf>
    <xf numFmtId="0" fontId="14" fillId="0" borderId="0" xfId="0" applyFont="1" applyBorder="1"/>
    <xf numFmtId="164" fontId="1" fillId="0" borderId="0" xfId="0" applyNumberFormat="1" applyFont="1" applyBorder="1" applyAlignment="1">
      <alignment vertical="center"/>
    </xf>
    <xf numFmtId="0" fontId="8" fillId="0" borderId="0" xfId="0" applyFont="1" applyBorder="1"/>
    <xf numFmtId="0" fontId="1" fillId="0" borderId="0" xfId="2" applyFont="1" applyBorder="1" applyAlignment="1">
      <alignment horizontal="left"/>
    </xf>
    <xf numFmtId="0" fontId="1" fillId="0" borderId="14" xfId="2" applyFont="1" applyBorder="1" applyAlignment="1">
      <alignment horizontal="left"/>
    </xf>
    <xf numFmtId="164" fontId="1" fillId="4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164" fontId="14" fillId="11" borderId="15" xfId="0" applyNumberFormat="1" applyFont="1" applyFill="1" applyBorder="1" applyAlignment="1">
      <alignment vertical="center"/>
    </xf>
    <xf numFmtId="164" fontId="1" fillId="4" borderId="14" xfId="0" applyNumberFormat="1" applyFont="1" applyFill="1" applyBorder="1" applyAlignment="1">
      <alignment vertical="center"/>
    </xf>
    <xf numFmtId="0" fontId="8" fillId="0" borderId="14" xfId="0" applyFont="1" applyBorder="1"/>
    <xf numFmtId="0" fontId="14" fillId="11" borderId="15" xfId="0" applyFont="1" applyFill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2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23" fillId="0" borderId="0" xfId="0" applyFont="1"/>
    <xf numFmtId="3" fontId="1" fillId="0" borderId="0" xfId="0" applyNumberFormat="1" applyFont="1" applyAlignment="1">
      <alignment horizontal="right"/>
    </xf>
    <xf numFmtId="0" fontId="16" fillId="0" borderId="0" xfId="0" applyNumberFormat="1" applyFont="1"/>
    <xf numFmtId="3" fontId="5" fillId="0" borderId="0" xfId="0" applyNumberFormat="1" applyFont="1" applyAlignment="1">
      <alignment horizontal="right"/>
    </xf>
    <xf numFmtId="3" fontId="8" fillId="0" borderId="0" xfId="0" applyNumberFormat="1" applyFont="1" applyAlignment="1">
      <alignment horizontal="right"/>
    </xf>
    <xf numFmtId="0" fontId="24" fillId="0" borderId="0" xfId="0" applyNumberFormat="1" applyFont="1"/>
    <xf numFmtId="0" fontId="6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3" fontId="25" fillId="0" borderId="0" xfId="0" applyNumberFormat="1" applyFont="1" applyAlignment="1">
      <alignment horizontal="right"/>
    </xf>
    <xf numFmtId="3" fontId="8" fillId="0" borderId="32" xfId="0" applyNumberFormat="1" applyFont="1" applyBorder="1" applyAlignment="1">
      <alignment horizontal="right"/>
    </xf>
    <xf numFmtId="3" fontId="25" fillId="0" borderId="32" xfId="0" applyNumberFormat="1" applyFont="1" applyBorder="1" applyAlignment="1">
      <alignment horizontal="right"/>
    </xf>
    <xf numFmtId="3" fontId="1" fillId="0" borderId="32" xfId="0" applyNumberFormat="1" applyFont="1" applyBorder="1" applyAlignment="1">
      <alignment horizontal="right"/>
    </xf>
    <xf numFmtId="3" fontId="6" fillId="0" borderId="32" xfId="0" applyNumberFormat="1" applyFont="1" applyBorder="1" applyAlignment="1">
      <alignment horizontal="right"/>
    </xf>
    <xf numFmtId="165" fontId="8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14" fillId="11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3" fontId="1" fillId="11" borderId="0" xfId="0" applyNumberFormat="1" applyFont="1" applyFill="1" applyAlignment="1">
      <alignment horizontal="center"/>
    </xf>
    <xf numFmtId="0" fontId="16" fillId="0" borderId="0" xfId="0" applyNumberFormat="1" applyFont="1" applyAlignment="1">
      <alignment horizontal="center"/>
    </xf>
    <xf numFmtId="0" fontId="1" fillId="11" borderId="0" xfId="0" applyFont="1" applyFill="1"/>
    <xf numFmtId="0" fontId="16" fillId="0" borderId="0" xfId="0" applyFont="1"/>
    <xf numFmtId="0" fontId="16" fillId="0" borderId="0" xfId="0" applyFont="1" applyAlignment="1">
      <alignment horizontal="center"/>
    </xf>
    <xf numFmtId="3" fontId="1" fillId="0" borderId="15" xfId="0" applyNumberFormat="1" applyFont="1" applyBorder="1" applyAlignment="1">
      <alignment horizontal="right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12" borderId="0" xfId="0" applyFont="1" applyFill="1"/>
    <xf numFmtId="0" fontId="13" fillId="12" borderId="0" xfId="0" applyFont="1" applyFill="1" applyAlignment="1">
      <alignment horizontal="center"/>
    </xf>
    <xf numFmtId="0" fontId="12" fillId="9" borderId="0" xfId="0" applyFont="1" applyFill="1" applyAlignment="1">
      <alignment horizontal="center"/>
    </xf>
    <xf numFmtId="0" fontId="13" fillId="4" borderId="0" xfId="0" applyFont="1" applyFill="1" applyAlignment="1"/>
    <xf numFmtId="1" fontId="12" fillId="0" borderId="0" xfId="0" applyNumberFormat="1" applyFont="1"/>
    <xf numFmtId="0" fontId="12" fillId="9" borderId="0" xfId="0" applyFont="1" applyFill="1"/>
    <xf numFmtId="0" fontId="12" fillId="9" borderId="0" xfId="0" applyNumberFormat="1" applyFont="1" applyFill="1" applyAlignment="1">
      <alignment horizontal="center"/>
    </xf>
    <xf numFmtId="1" fontId="12" fillId="9" borderId="0" xfId="0" applyNumberFormat="1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12" fillId="0" borderId="0" xfId="0" applyFont="1" applyAlignment="1">
      <alignment horizontal="right" vertical="center"/>
    </xf>
    <xf numFmtId="164" fontId="1" fillId="0" borderId="0" xfId="0" applyNumberFormat="1" applyFont="1" applyFill="1" applyBorder="1" applyAlignment="1">
      <alignment vertical="center"/>
    </xf>
    <xf numFmtId="164" fontId="12" fillId="0" borderId="0" xfId="0" applyNumberFormat="1" applyFont="1" applyFill="1" applyBorder="1" applyAlignment="1">
      <alignment horizontal="right" vertical="center"/>
    </xf>
    <xf numFmtId="16" fontId="1" fillId="0" borderId="0" xfId="0" quotePrefix="1" applyNumberFormat="1" applyFont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164" fontId="14" fillId="8" borderId="0" xfId="2" applyNumberFormat="1" applyFont="1" applyFill="1" applyAlignment="1">
      <alignment horizontal="center" vertical="center"/>
    </xf>
    <xf numFmtId="12" fontId="1" fillId="0" borderId="0" xfId="2" quotePrefix="1" applyNumberFormat="1" applyFont="1" applyAlignment="1" applyProtection="1">
      <alignment horizontal="center" vertical="center"/>
    </xf>
    <xf numFmtId="0" fontId="1" fillId="0" borderId="0" xfId="2" quotePrefix="1" applyFont="1" applyAlignment="1">
      <alignment horizontal="center" vertical="center"/>
    </xf>
    <xf numFmtId="164" fontId="1" fillId="0" borderId="0" xfId="2" applyNumberFormat="1" applyFont="1" applyFill="1" applyAlignment="1">
      <alignment horizontal="center" vertical="center"/>
    </xf>
    <xf numFmtId="0" fontId="8" fillId="8" borderId="0" xfId="0" applyFont="1" applyFill="1" applyAlignment="1">
      <alignment horizontal="center"/>
    </xf>
    <xf numFmtId="0" fontId="1" fillId="0" borderId="0" xfId="0" applyFont="1" applyFill="1"/>
    <xf numFmtId="0" fontId="7" fillId="0" borderId="0" xfId="0" applyFont="1" applyFill="1" applyAlignment="1">
      <alignment horizontal="right"/>
    </xf>
    <xf numFmtId="0" fontId="1" fillId="0" borderId="0" xfId="0" applyFont="1" applyFill="1" applyAlignment="1">
      <alignment horizontal="center"/>
    </xf>
    <xf numFmtId="0" fontId="26" fillId="10" borderId="0" xfId="0" applyFont="1" applyFill="1" applyAlignment="1">
      <alignment vertical="center"/>
    </xf>
    <xf numFmtId="0" fontId="1" fillId="0" borderId="33" xfId="0" quotePrefix="1" applyFont="1" applyBorder="1" applyAlignment="1">
      <alignment vertical="center"/>
    </xf>
    <xf numFmtId="0" fontId="8" fillId="3" borderId="0" xfId="0" applyFont="1" applyFill="1" applyAlignment="1">
      <alignment horizontal="left"/>
    </xf>
    <xf numFmtId="0" fontId="27" fillId="0" borderId="6" xfId="0" applyFont="1" applyBorder="1" applyAlignment="1">
      <alignment horizontal="center"/>
    </xf>
    <xf numFmtId="0" fontId="27" fillId="0" borderId="0" xfId="0" applyFont="1" applyBorder="1"/>
    <xf numFmtId="0" fontId="27" fillId="0" borderId="12" xfId="0" applyFont="1" applyBorder="1"/>
    <xf numFmtId="0" fontId="0" fillId="0" borderId="12" xfId="0" applyBorder="1"/>
    <xf numFmtId="0" fontId="27" fillId="0" borderId="7" xfId="0" applyFont="1" applyBorder="1"/>
    <xf numFmtId="0" fontId="27" fillId="0" borderId="8" xfId="0" applyFont="1" applyBorder="1" applyAlignment="1">
      <alignment horizontal="center"/>
    </xf>
    <xf numFmtId="0" fontId="27" fillId="0" borderId="34" xfId="0" applyFont="1" applyBorder="1"/>
    <xf numFmtId="0" fontId="27" fillId="0" borderId="9" xfId="0" applyFont="1" applyBorder="1"/>
    <xf numFmtId="0" fontId="1" fillId="9" borderId="0" xfId="0" applyFont="1" applyFill="1" applyAlignment="1" applyProtection="1">
      <alignment horizontal="center"/>
      <protection locked="0"/>
    </xf>
    <xf numFmtId="164" fontId="1" fillId="9" borderId="0" xfId="0" applyNumberFormat="1" applyFont="1" applyFill="1" applyAlignment="1" applyProtection="1">
      <alignment horizontal="right"/>
      <protection locked="0"/>
    </xf>
    <xf numFmtId="3" fontId="1" fillId="9" borderId="0" xfId="0" applyNumberFormat="1" applyFont="1" applyFill="1" applyAlignment="1" applyProtection="1">
      <alignment horizontal="right"/>
      <protection locked="0"/>
    </xf>
    <xf numFmtId="0" fontId="1" fillId="9" borderId="0" xfId="0" applyFont="1" applyFill="1" applyProtection="1">
      <protection locked="0"/>
    </xf>
    <xf numFmtId="3" fontId="1" fillId="0" borderId="0" xfId="0" applyNumberFormat="1" applyFont="1" applyAlignment="1" applyProtection="1">
      <alignment horizontal="right"/>
      <protection locked="0"/>
    </xf>
    <xf numFmtId="0" fontId="1" fillId="0" borderId="0" xfId="0" applyFont="1" applyProtection="1">
      <protection locked="0"/>
    </xf>
    <xf numFmtId="0" fontId="1" fillId="0" borderId="0" xfId="0" applyFont="1" applyFill="1" applyProtection="1"/>
    <xf numFmtId="0" fontId="1" fillId="0" borderId="0" xfId="0" applyFont="1" applyFill="1" applyAlignment="1" applyProtection="1">
      <alignment horizontal="center"/>
    </xf>
    <xf numFmtId="3" fontId="1" fillId="0" borderId="0" xfId="0" applyNumberFormat="1" applyFont="1" applyFill="1" applyAlignment="1" applyProtection="1">
      <alignment horizontal="right"/>
    </xf>
    <xf numFmtId="0" fontId="8" fillId="0" borderId="0" xfId="0" applyFont="1" applyProtection="1"/>
    <xf numFmtId="12" fontId="1" fillId="0" borderId="0" xfId="2" applyNumberFormat="1" applyFont="1" applyBorder="1" applyAlignment="1">
      <alignment horizontal="center"/>
    </xf>
    <xf numFmtId="0" fontId="14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2" fillId="0" borderId="15" xfId="0" applyFont="1" applyBorder="1" applyAlignment="1">
      <alignment vertical="center"/>
    </xf>
    <xf numFmtId="0" fontId="5" fillId="4" borderId="35" xfId="0" applyFont="1" applyFill="1" applyBorder="1"/>
    <xf numFmtId="0" fontId="5" fillId="4" borderId="36" xfId="0" applyFont="1" applyFill="1" applyBorder="1"/>
    <xf numFmtId="0" fontId="5" fillId="4" borderId="36" xfId="0" applyFont="1" applyFill="1" applyBorder="1" applyProtection="1">
      <protection locked="0"/>
    </xf>
    <xf numFmtId="0" fontId="6" fillId="0" borderId="0" xfId="0" applyFont="1" applyProtection="1">
      <protection locked="0"/>
    </xf>
    <xf numFmtId="0" fontId="8" fillId="9" borderId="0" xfId="0" applyFont="1" applyFill="1" applyAlignment="1" applyProtection="1">
      <alignment horizontal="left"/>
      <protection locked="0"/>
    </xf>
    <xf numFmtId="0" fontId="1" fillId="13" borderId="0" xfId="0" applyFont="1" applyFill="1"/>
    <xf numFmtId="164" fontId="12" fillId="0" borderId="0" xfId="2" applyNumberFormat="1" applyFont="1" applyBorder="1" applyAlignment="1">
      <alignment horizontal="left"/>
    </xf>
    <xf numFmtId="164" fontId="1" fillId="0" borderId="0" xfId="0" applyNumberFormat="1" applyFont="1" applyFill="1" applyBorder="1" applyAlignment="1">
      <alignment horizontal="left" vertical="center"/>
    </xf>
    <xf numFmtId="164" fontId="0" fillId="0" borderId="0" xfId="0" applyNumberFormat="1" applyBorder="1" applyAlignment="1">
      <alignment horizontal="left"/>
    </xf>
    <xf numFmtId="164" fontId="5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left"/>
    </xf>
    <xf numFmtId="0" fontId="11" fillId="0" borderId="0" xfId="0" applyFont="1" applyAlignment="1">
      <alignment horizontal="left"/>
    </xf>
    <xf numFmtId="0" fontId="1" fillId="9" borderId="0" xfId="0" applyFont="1" applyFill="1" applyAlignment="1" applyProtection="1">
      <protection locked="0"/>
    </xf>
    <xf numFmtId="0" fontId="0" fillId="0" borderId="0" xfId="0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 vertical="center"/>
    </xf>
    <xf numFmtId="0" fontId="14" fillId="5" borderId="15" xfId="0" applyFont="1" applyFill="1" applyBorder="1" applyAlignment="1"/>
    <xf numFmtId="0" fontId="15" fillId="5" borderId="0" xfId="0" applyFont="1" applyFill="1" applyBorder="1" applyAlignment="1">
      <alignment horizontal="center" vertical="top"/>
    </xf>
    <xf numFmtId="0" fontId="8" fillId="0" borderId="0" xfId="0" quotePrefix="1" applyFont="1" applyAlignment="1">
      <alignment horizontal="center"/>
    </xf>
    <xf numFmtId="0" fontId="24" fillId="0" borderId="0" xfId="0" applyNumberFormat="1" applyFont="1" applyAlignment="1">
      <alignment horizontal="center"/>
    </xf>
    <xf numFmtId="0" fontId="24" fillId="0" borderId="37" xfId="0" applyNumberFormat="1" applyFont="1" applyBorder="1"/>
    <xf numFmtId="3" fontId="1" fillId="0" borderId="0" xfId="0" applyNumberFormat="1" applyFont="1"/>
    <xf numFmtId="3" fontId="1" fillId="0" borderId="0" xfId="2" applyNumberFormat="1" applyFont="1" applyAlignment="1">
      <alignment vertical="center"/>
    </xf>
    <xf numFmtId="0" fontId="11" fillId="0" borderId="38" xfId="1" applyNumberFormat="1" applyFont="1" applyBorder="1" applyAlignment="1">
      <alignment horizontal="center" wrapText="1"/>
    </xf>
    <xf numFmtId="0" fontId="11" fillId="0" borderId="39" xfId="1" applyFont="1" applyBorder="1" applyAlignment="1">
      <alignment horizontal="center" wrapText="1"/>
    </xf>
    <xf numFmtId="0" fontId="11" fillId="0" borderId="38" xfId="1" applyFont="1" applyBorder="1" applyAlignment="1">
      <alignment horizontal="center" wrapText="1"/>
    </xf>
    <xf numFmtId="0" fontId="11" fillId="0" borderId="40" xfId="1" applyFont="1" applyBorder="1" applyAlignment="1">
      <alignment horizontal="center" wrapText="1"/>
    </xf>
    <xf numFmtId="0" fontId="1" fillId="14" borderId="0" xfId="1" applyFont="1" applyFill="1" applyAlignment="1">
      <alignment horizontal="center" wrapText="1"/>
    </xf>
    <xf numFmtId="0" fontId="1" fillId="0" borderId="0" xfId="1" applyFont="1"/>
    <xf numFmtId="0" fontId="13" fillId="0" borderId="41" xfId="1" applyFont="1" applyBorder="1" applyAlignment="1">
      <alignment horizontal="left"/>
    </xf>
    <xf numFmtId="0" fontId="13" fillId="0" borderId="42" xfId="1" applyFont="1" applyBorder="1" applyAlignment="1">
      <alignment horizontal="center"/>
    </xf>
    <xf numFmtId="0" fontId="1" fillId="0" borderId="0" xfId="1" applyFont="1" applyAlignment="1">
      <alignment horizontal="center" wrapText="1"/>
    </xf>
    <xf numFmtId="0" fontId="12" fillId="0" borderId="43" xfId="1" applyNumberFormat="1" applyFont="1" applyBorder="1"/>
    <xf numFmtId="0" fontId="12" fillId="0" borderId="44" xfId="1" applyNumberFormat="1" applyFont="1" applyBorder="1"/>
    <xf numFmtId="0" fontId="12" fillId="0" borderId="43" xfId="1" applyNumberFormat="1" applyFont="1" applyBorder="1" applyAlignment="1">
      <alignment horizontal="center"/>
    </xf>
    <xf numFmtId="0" fontId="12" fillId="0" borderId="44" xfId="1" applyFont="1" applyBorder="1" applyAlignment="1">
      <alignment horizontal="center"/>
    </xf>
    <xf numFmtId="0" fontId="12" fillId="0" borderId="43" xfId="1" applyFont="1" applyBorder="1"/>
    <xf numFmtId="0" fontId="12" fillId="0" borderId="44" xfId="1" applyFont="1" applyBorder="1"/>
    <xf numFmtId="0" fontId="12" fillId="0" borderId="0" xfId="1" applyFont="1" applyBorder="1"/>
    <xf numFmtId="0" fontId="1" fillId="14" borderId="0" xfId="1" applyFont="1" applyFill="1" applyAlignment="1">
      <alignment horizontal="center"/>
    </xf>
    <xf numFmtId="0" fontId="11" fillId="0" borderId="45" xfId="1" applyFont="1" applyBorder="1" applyAlignment="1">
      <alignment horizontal="right"/>
    </xf>
    <xf numFmtId="0" fontId="11" fillId="0" borderId="46" xfId="1" applyFont="1" applyBorder="1" applyAlignment="1">
      <alignment horizontal="right"/>
    </xf>
    <xf numFmtId="0" fontId="12" fillId="0" borderId="44" xfId="1" applyFont="1" applyFill="1" applyBorder="1"/>
    <xf numFmtId="0" fontId="12" fillId="15" borderId="43" xfId="1" applyNumberFormat="1" applyFont="1" applyFill="1" applyBorder="1"/>
    <xf numFmtId="0" fontId="12" fillId="15" borderId="44" xfId="1" applyNumberFormat="1" applyFont="1" applyFill="1" applyBorder="1"/>
    <xf numFmtId="0" fontId="12" fillId="15" borderId="43" xfId="1" applyNumberFormat="1" applyFont="1" applyFill="1" applyBorder="1" applyAlignment="1">
      <alignment horizontal="center"/>
    </xf>
    <xf numFmtId="0" fontId="12" fillId="15" borderId="44" xfId="1" applyFont="1" applyFill="1" applyBorder="1" applyAlignment="1">
      <alignment horizontal="center"/>
    </xf>
    <xf numFmtId="0" fontId="12" fillId="15" borderId="43" xfId="1" applyFont="1" applyFill="1" applyBorder="1"/>
    <xf numFmtId="0" fontId="12" fillId="15" borderId="44" xfId="1" applyFont="1" applyFill="1" applyBorder="1"/>
    <xf numFmtId="0" fontId="12" fillId="15" borderId="0" xfId="1" applyFont="1" applyFill="1" applyBorder="1"/>
    <xf numFmtId="0" fontId="12" fillId="16" borderId="43" xfId="1" applyFont="1" applyFill="1" applyBorder="1"/>
    <xf numFmtId="0" fontId="12" fillId="16" borderId="0" xfId="1" applyFont="1" applyFill="1" applyBorder="1"/>
    <xf numFmtId="0" fontId="12" fillId="0" borderId="43" xfId="1" applyFont="1" applyFill="1" applyBorder="1"/>
    <xf numFmtId="0" fontId="12" fillId="0" borderId="0" xfId="1" applyFont="1" applyFill="1" applyBorder="1"/>
    <xf numFmtId="0" fontId="12" fillId="14" borderId="43" xfId="1" applyNumberFormat="1" applyFont="1" applyFill="1" applyBorder="1"/>
    <xf numFmtId="0" fontId="12" fillId="14" borderId="44" xfId="1" applyNumberFormat="1" applyFont="1" applyFill="1" applyBorder="1"/>
    <xf numFmtId="0" fontId="12" fillId="14" borderId="43" xfId="1" applyNumberFormat="1" applyFont="1" applyFill="1" applyBorder="1" applyAlignment="1">
      <alignment horizontal="center"/>
    </xf>
    <xf numFmtId="0" fontId="12" fillId="14" borderId="44" xfId="1" applyFont="1" applyFill="1" applyBorder="1" applyAlignment="1">
      <alignment horizontal="center"/>
    </xf>
    <xf numFmtId="0" fontId="12" fillId="14" borderId="43" xfId="1" applyFont="1" applyFill="1" applyBorder="1"/>
    <xf numFmtId="0" fontId="12" fillId="14" borderId="44" xfId="1" applyFont="1" applyFill="1" applyBorder="1"/>
    <xf numFmtId="0" fontId="12" fillId="14" borderId="0" xfId="1" applyFont="1" applyFill="1" applyBorder="1"/>
    <xf numFmtId="0" fontId="12" fillId="15" borderId="45" xfId="1" applyNumberFormat="1" applyFont="1" applyFill="1" applyBorder="1"/>
    <xf numFmtId="0" fontId="12" fillId="15" borderId="47" xfId="1" applyNumberFormat="1" applyFont="1" applyFill="1" applyBorder="1"/>
    <xf numFmtId="0" fontId="12" fillId="15" borderId="45" xfId="1" applyNumberFormat="1" applyFont="1" applyFill="1" applyBorder="1" applyAlignment="1">
      <alignment horizontal="center"/>
    </xf>
    <xf numFmtId="0" fontId="12" fillId="15" borderId="47" xfId="1" applyFont="1" applyFill="1" applyBorder="1" applyAlignment="1">
      <alignment horizontal="center"/>
    </xf>
    <xf numFmtId="0" fontId="12" fillId="15" borderId="45" xfId="1" applyFont="1" applyFill="1" applyBorder="1"/>
    <xf numFmtId="0" fontId="12" fillId="15" borderId="47" xfId="1" applyFont="1" applyFill="1" applyBorder="1"/>
    <xf numFmtId="0" fontId="12" fillId="15" borderId="46" xfId="1" applyFont="1" applyFill="1" applyBorder="1"/>
    <xf numFmtId="0" fontId="1" fillId="0" borderId="0" xfId="1" applyNumberFormat="1" applyFont="1"/>
    <xf numFmtId="0" fontId="1" fillId="0" borderId="0" xfId="1" applyNumberFormat="1" applyFont="1" applyAlignment="1">
      <alignment horizontal="center"/>
    </xf>
    <xf numFmtId="0" fontId="1" fillId="0" borderId="0" xfId="1" applyFont="1" applyAlignment="1">
      <alignment horizontal="center"/>
    </xf>
    <xf numFmtId="0" fontId="12" fillId="0" borderId="45" xfId="1" applyFont="1" applyFill="1" applyBorder="1"/>
    <xf numFmtId="0" fontId="12" fillId="0" borderId="46" xfId="1" applyFont="1" applyFill="1" applyBorder="1"/>
    <xf numFmtId="0" fontId="12" fillId="0" borderId="47" xfId="1" applyFont="1" applyFill="1" applyBorder="1"/>
    <xf numFmtId="0" fontId="8" fillId="6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8" fillId="17" borderId="0" xfId="0" applyFont="1" applyFill="1" applyAlignment="1">
      <alignment horizontal="center"/>
    </xf>
    <xf numFmtId="0" fontId="1" fillId="11" borderId="0" xfId="0" applyFont="1" applyFill="1" applyAlignment="1">
      <alignment vertical="center"/>
    </xf>
    <xf numFmtId="0" fontId="1" fillId="11" borderId="0" xfId="0" applyFont="1" applyFill="1" applyAlignment="1">
      <alignment horizontal="center" vertical="center"/>
    </xf>
    <xf numFmtId="0" fontId="8" fillId="17" borderId="0" xfId="0" applyFont="1" applyFill="1" applyAlignment="1">
      <alignment horizontal="left"/>
    </xf>
    <xf numFmtId="0" fontId="8" fillId="6" borderId="0" xfId="0" applyFont="1" applyFill="1" applyAlignment="1">
      <alignment horizontal="left"/>
    </xf>
    <xf numFmtId="0" fontId="6" fillId="0" borderId="0" xfId="3" applyFont="1" applyFill="1" applyBorder="1" applyAlignment="1">
      <alignment horizontal="center" wrapText="1"/>
    </xf>
    <xf numFmtId="0" fontId="6" fillId="0" borderId="0" xfId="3" applyFont="1" applyBorder="1" applyAlignment="1">
      <alignment horizontal="center" wrapText="1"/>
    </xf>
    <xf numFmtId="0" fontId="6" fillId="0" borderId="0" xfId="3" applyFont="1" applyFill="1" applyBorder="1" applyAlignment="1">
      <alignment textRotation="90" wrapText="1"/>
    </xf>
    <xf numFmtId="0" fontId="6" fillId="0" borderId="0" xfId="3" applyFont="1" applyFill="1" applyBorder="1" applyAlignment="1">
      <alignment horizontal="center" textRotation="90" wrapText="1"/>
    </xf>
    <xf numFmtId="0" fontId="8" fillId="0" borderId="0" xfId="0" applyFont="1" applyAlignment="1">
      <alignment horizontal="left"/>
    </xf>
    <xf numFmtId="0" fontId="8" fillId="5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8" fillId="10" borderId="0" xfId="0" applyFont="1" applyFill="1" applyAlignment="1">
      <alignment horizontal="left"/>
    </xf>
    <xf numFmtId="166" fontId="8" fillId="0" borderId="0" xfId="0" applyNumberFormat="1" applyFont="1" applyAlignment="1">
      <alignment horizontal="left"/>
    </xf>
    <xf numFmtId="0" fontId="7" fillId="0" borderId="0" xfId="0" applyFont="1" applyAlignment="1">
      <alignment horizontal="left" vertical="center"/>
    </xf>
    <xf numFmtId="0" fontId="1" fillId="18" borderId="0" xfId="2" applyFont="1" applyFill="1" applyAlignment="1">
      <alignment horizontal="center" wrapText="1"/>
    </xf>
    <xf numFmtId="1" fontId="1" fillId="18" borderId="0" xfId="2" applyNumberFormat="1" applyFont="1" applyFill="1" applyAlignment="1">
      <alignment horizontal="center" wrapText="1"/>
    </xf>
    <xf numFmtId="3" fontId="1" fillId="0" borderId="0" xfId="0" applyNumberFormat="1" applyFont="1" applyBorder="1" applyAlignment="1">
      <alignment horizontal="right"/>
    </xf>
    <xf numFmtId="0" fontId="6" fillId="0" borderId="0" xfId="0" applyFont="1" applyAlignment="1">
      <alignment horizontal="left"/>
    </xf>
    <xf numFmtId="12" fontId="8" fillId="4" borderId="26" xfId="0" applyNumberFormat="1" applyFont="1" applyFill="1" applyBorder="1" applyAlignment="1">
      <alignment horizontal="center"/>
    </xf>
    <xf numFmtId="12" fontId="8" fillId="4" borderId="27" xfId="0" applyNumberFormat="1" applyFont="1" applyFill="1" applyBorder="1" applyAlignment="1">
      <alignment horizontal="center"/>
    </xf>
    <xf numFmtId="12" fontId="8" fillId="4" borderId="28" xfId="0" applyNumberFormat="1" applyFont="1" applyFill="1" applyBorder="1" applyAlignment="1">
      <alignment horizontal="center"/>
    </xf>
    <xf numFmtId="12" fontId="8" fillId="4" borderId="29" xfId="0" applyNumberFormat="1" applyFont="1" applyFill="1" applyBorder="1" applyAlignment="1">
      <alignment horizontal="center"/>
    </xf>
    <xf numFmtId="12" fontId="8" fillId="4" borderId="48" xfId="0" applyNumberFormat="1" applyFont="1" applyFill="1" applyBorder="1" applyAlignment="1">
      <alignment horizontal="center"/>
    </xf>
    <xf numFmtId="12" fontId="8" fillId="4" borderId="49" xfId="0" applyNumberFormat="1" applyFont="1" applyFill="1" applyBorder="1" applyAlignment="1">
      <alignment horizontal="center"/>
    </xf>
    <xf numFmtId="12" fontId="8" fillId="4" borderId="50" xfId="0" applyNumberFormat="1" applyFont="1" applyFill="1" applyBorder="1" applyAlignment="1">
      <alignment horizontal="center"/>
    </xf>
    <xf numFmtId="12" fontId="8" fillId="4" borderId="51" xfId="0" applyNumberFormat="1" applyFont="1" applyFill="1" applyBorder="1" applyAlignment="1">
      <alignment horizontal="center"/>
    </xf>
    <xf numFmtId="0" fontId="1" fillId="0" borderId="0" xfId="2" quotePrefix="1" applyFont="1" applyBorder="1" applyAlignment="1">
      <alignment horizontal="center"/>
    </xf>
    <xf numFmtId="0" fontId="1" fillId="0" borderId="11" xfId="2" applyFont="1" applyBorder="1" applyAlignment="1">
      <alignment horizontal="center" wrapText="1"/>
    </xf>
    <xf numFmtId="0" fontId="1" fillId="0" borderId="11" xfId="2" applyFont="1" applyBorder="1" applyAlignment="1">
      <alignment horizontal="center"/>
    </xf>
    <xf numFmtId="0" fontId="1" fillId="0" borderId="11" xfId="2" applyFont="1" applyBorder="1" applyAlignment="1">
      <alignment horizontal="center" vertical="center"/>
    </xf>
    <xf numFmtId="0" fontId="0" fillId="0" borderId="0" xfId="0"/>
    <xf numFmtId="0" fontId="28" fillId="0" borderId="10" xfId="0" applyFont="1" applyBorder="1"/>
    <xf numFmtId="0" fontId="28" fillId="0" borderId="17" xfId="0" applyFont="1" applyBorder="1"/>
    <xf numFmtId="0" fontId="28" fillId="0" borderId="33" xfId="0" applyFont="1" applyBorder="1"/>
    <xf numFmtId="0" fontId="0" fillId="19" borderId="11" xfId="0" applyFill="1" applyBorder="1"/>
    <xf numFmtId="0" fontId="0" fillId="0" borderId="0" xfId="0" quotePrefix="1"/>
    <xf numFmtId="0" fontId="8" fillId="0" borderId="0" xfId="0" quotePrefix="1" applyFont="1"/>
    <xf numFmtId="0" fontId="0" fillId="20" borderId="11" xfId="0" applyFill="1" applyBorder="1"/>
    <xf numFmtId="0" fontId="0" fillId="21" borderId="11" xfId="0" applyFill="1" applyBorder="1"/>
    <xf numFmtId="0" fontId="0" fillId="22" borderId="11" xfId="0" applyFill="1" applyBorder="1"/>
    <xf numFmtId="0" fontId="0" fillId="22" borderId="55" xfId="0" applyFill="1" applyBorder="1"/>
    <xf numFmtId="0" fontId="0" fillId="0" borderId="56" xfId="0" applyBorder="1"/>
    <xf numFmtId="0" fontId="0" fillId="0" borderId="56" xfId="0" quotePrefix="1" applyBorder="1"/>
    <xf numFmtId="0" fontId="0" fillId="0" borderId="57" xfId="0" applyBorder="1"/>
    <xf numFmtId="0" fontId="3" fillId="0" borderId="44" xfId="1" applyFont="1" applyFill="1" applyBorder="1"/>
    <xf numFmtId="0" fontId="29" fillId="0" borderId="0" xfId="0" applyFont="1" applyAlignment="1">
      <alignment horizontal="center"/>
    </xf>
    <xf numFmtId="0" fontId="29" fillId="0" borderId="0" xfId="0" applyFont="1"/>
    <xf numFmtId="0" fontId="0" fillId="15" borderId="0" xfId="0" applyFill="1" applyAlignment="1">
      <alignment horizontal="center"/>
    </xf>
    <xf numFmtId="0" fontId="6" fillId="0" borderId="0" xfId="3" applyFont="1" applyAlignment="1">
      <alignment textRotation="90" wrapText="1"/>
    </xf>
    <xf numFmtId="0" fontId="0" fillId="23" borderId="0" xfId="0" applyFill="1"/>
    <xf numFmtId="0" fontId="6" fillId="0" borderId="0" xfId="3" applyFont="1" applyAlignment="1">
      <alignment horizontal="center" textRotation="90" wrapText="1"/>
    </xf>
    <xf numFmtId="0" fontId="8" fillId="10" borderId="0" xfId="0" applyFont="1" applyFill="1" applyAlignment="1">
      <alignment horizontal="center"/>
    </xf>
    <xf numFmtId="0" fontId="8" fillId="10" borderId="0" xfId="0" applyFont="1" applyFill="1"/>
    <xf numFmtId="0" fontId="8" fillId="12" borderId="0" xfId="0" applyFont="1" applyFill="1" applyAlignment="1">
      <alignment horizontal="center"/>
    </xf>
    <xf numFmtId="0" fontId="8" fillId="12" borderId="0" xfId="0" applyFont="1" applyFill="1"/>
    <xf numFmtId="0" fontId="8" fillId="9" borderId="0" xfId="0" applyFont="1" applyFill="1" applyAlignment="1">
      <alignment horizontal="center"/>
    </xf>
    <xf numFmtId="0" fontId="8" fillId="9" borderId="0" xfId="0" applyFont="1" applyFill="1"/>
    <xf numFmtId="0" fontId="8" fillId="3" borderId="0" xfId="0" applyFont="1" applyFill="1"/>
    <xf numFmtId="0" fontId="1" fillId="0" borderId="0" xfId="2" applyFont="1" applyFill="1" applyBorder="1" applyAlignment="1">
      <alignment horizontal="center"/>
    </xf>
    <xf numFmtId="0" fontId="14" fillId="0" borderId="0" xfId="2" applyFont="1" applyFill="1" applyBorder="1"/>
    <xf numFmtId="9" fontId="8" fillId="0" borderId="0" xfId="0" applyNumberFormat="1" applyFont="1"/>
    <xf numFmtId="0" fontId="8" fillId="24" borderId="0" xfId="0" applyFont="1" applyFill="1"/>
    <xf numFmtId="0" fontId="8" fillId="25" borderId="0" xfId="0" applyFont="1" applyFill="1"/>
    <xf numFmtId="0" fontId="8" fillId="26" borderId="0" xfId="0" applyFont="1" applyFill="1"/>
    <xf numFmtId="0" fontId="8" fillId="27" borderId="0" xfId="0" applyFont="1" applyFill="1"/>
    <xf numFmtId="0" fontId="8" fillId="28" borderId="0" xfId="0" applyFont="1" applyFill="1"/>
    <xf numFmtId="0" fontId="8" fillId="29" borderId="0" xfId="0" applyFont="1" applyFill="1"/>
    <xf numFmtId="0" fontId="8" fillId="30" borderId="0" xfId="0" applyFont="1" applyFill="1"/>
    <xf numFmtId="0" fontId="14" fillId="0" borderId="0" xfId="2" applyFont="1" applyFill="1" applyBorder="1" applyAlignment="1">
      <alignment horizontal="center"/>
    </xf>
    <xf numFmtId="0" fontId="14" fillId="8" borderId="0" xfId="0" applyFont="1" applyFill="1" applyAlignment="1">
      <alignment horizontal="center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18" borderId="0" xfId="0" applyFont="1" applyFill="1" applyAlignment="1">
      <alignment horizontal="center" vertical="center"/>
    </xf>
    <xf numFmtId="0" fontId="18" fillId="0" borderId="58" xfId="0" applyFont="1" applyBorder="1" applyAlignment="1" applyProtection="1">
      <alignment horizontal="left" vertical="top"/>
      <protection locked="0"/>
    </xf>
    <xf numFmtId="0" fontId="0" fillId="0" borderId="59" xfId="0" applyBorder="1" applyAlignment="1">
      <alignment vertical="top"/>
    </xf>
    <xf numFmtId="0" fontId="0" fillId="0" borderId="60" xfId="0" applyBorder="1" applyAlignment="1">
      <alignment vertical="top"/>
    </xf>
    <xf numFmtId="0" fontId="6" fillId="0" borderId="61" xfId="0" applyFont="1" applyBorder="1" applyAlignment="1">
      <alignment horizontal="center" vertical="top"/>
    </xf>
    <xf numFmtId="0" fontId="8" fillId="0" borderId="62" xfId="0" applyFont="1" applyBorder="1" applyAlignment="1">
      <alignment horizontal="center" vertical="top"/>
    </xf>
    <xf numFmtId="0" fontId="8" fillId="0" borderId="63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17" fillId="0" borderId="64" xfId="0" applyFont="1" applyBorder="1" applyAlignment="1">
      <alignment vertical="top"/>
    </xf>
    <xf numFmtId="0" fontId="17" fillId="0" borderId="65" xfId="0" applyFont="1" applyBorder="1" applyAlignment="1">
      <alignment vertical="top"/>
    </xf>
    <xf numFmtId="0" fontId="17" fillId="0" borderId="66" xfId="0" applyFont="1" applyBorder="1" applyAlignment="1">
      <alignment vertical="top"/>
    </xf>
    <xf numFmtId="0" fontId="0" fillId="0" borderId="65" xfId="0" applyBorder="1" applyAlignment="1">
      <alignment vertical="top"/>
    </xf>
    <xf numFmtId="0" fontId="0" fillId="0" borderId="66" xfId="0" applyBorder="1" applyAlignment="1">
      <alignment vertical="top"/>
    </xf>
    <xf numFmtId="0" fontId="6" fillId="0" borderId="73" xfId="0" applyFont="1" applyBorder="1" applyAlignment="1">
      <alignment horizontal="center" vertical="top"/>
    </xf>
    <xf numFmtId="0" fontId="3" fillId="0" borderId="74" xfId="0" applyFont="1" applyBorder="1" applyAlignment="1">
      <alignment horizontal="center" vertical="top"/>
    </xf>
    <xf numFmtId="0" fontId="8" fillId="0" borderId="74" xfId="0" applyFont="1" applyBorder="1" applyAlignment="1">
      <alignment horizontal="center" vertical="top"/>
    </xf>
    <xf numFmtId="0" fontId="6" fillId="0" borderId="75" xfId="0" applyFont="1" applyBorder="1" applyAlignment="1">
      <alignment horizontal="center" vertical="top"/>
    </xf>
    <xf numFmtId="0" fontId="0" fillId="0" borderId="76" xfId="0" applyBorder="1" applyAlignment="1">
      <alignment horizontal="center" vertical="top"/>
    </xf>
    <xf numFmtId="0" fontId="14" fillId="0" borderId="75" xfId="0" applyFont="1" applyBorder="1" applyAlignment="1">
      <alignment horizontal="center" vertical="top"/>
    </xf>
    <xf numFmtId="0" fontId="1" fillId="0" borderId="76" xfId="0" applyFont="1" applyBorder="1" applyAlignment="1">
      <alignment horizontal="center" vertical="top"/>
    </xf>
    <xf numFmtId="0" fontId="14" fillId="0" borderId="77" xfId="0" applyFont="1" applyBorder="1" applyAlignment="1">
      <alignment horizontal="center" vertical="top"/>
    </xf>
    <xf numFmtId="0" fontId="14" fillId="0" borderId="80" xfId="0" applyFont="1" applyBorder="1" applyAlignment="1">
      <alignment horizontal="center" vertical="top"/>
    </xf>
    <xf numFmtId="0" fontId="14" fillId="0" borderId="81" xfId="0" applyFont="1" applyBorder="1" applyAlignment="1">
      <alignment vertical="top"/>
    </xf>
    <xf numFmtId="0" fontId="6" fillId="0" borderId="59" xfId="0" applyFont="1" applyBorder="1" applyAlignment="1">
      <alignment vertical="top"/>
    </xf>
    <xf numFmtId="0" fontId="6" fillId="0" borderId="60" xfId="0" applyFont="1" applyBorder="1" applyAlignment="1">
      <alignment vertical="top"/>
    </xf>
    <xf numFmtId="0" fontId="14" fillId="0" borderId="82" xfId="0" applyFont="1" applyBorder="1" applyAlignment="1">
      <alignment horizontal="center" vertical="top"/>
    </xf>
    <xf numFmtId="0" fontId="14" fillId="0" borderId="83" xfId="0" applyFont="1" applyBorder="1" applyAlignment="1">
      <alignment horizontal="center" vertical="top"/>
    </xf>
    <xf numFmtId="0" fontId="14" fillId="0" borderId="84" xfId="0" applyFont="1" applyBorder="1" applyAlignment="1">
      <alignment vertical="top"/>
    </xf>
    <xf numFmtId="0" fontId="14" fillId="0" borderId="85" xfId="0" applyFont="1" applyBorder="1" applyAlignment="1">
      <alignment vertical="top"/>
    </xf>
    <xf numFmtId="0" fontId="14" fillId="0" borderId="85" xfId="0" applyFont="1" applyBorder="1" applyAlignment="1">
      <alignment horizontal="center" vertical="top"/>
    </xf>
    <xf numFmtId="0" fontId="14" fillId="0" borderId="63" xfId="0" applyFont="1" applyBorder="1" applyAlignment="1">
      <alignment horizontal="center" vertical="top"/>
    </xf>
    <xf numFmtId="0" fontId="1" fillId="0" borderId="86" xfId="0" applyFont="1" applyBorder="1" applyAlignment="1">
      <alignment horizontal="center" vertical="top"/>
    </xf>
    <xf numFmtId="0" fontId="1" fillId="0" borderId="87" xfId="0" applyFont="1" applyBorder="1" applyAlignment="1">
      <alignment vertical="top"/>
    </xf>
    <xf numFmtId="0" fontId="1" fillId="0" borderId="65" xfId="0" applyFont="1" applyBorder="1" applyAlignment="1">
      <alignment vertical="top"/>
    </xf>
    <xf numFmtId="0" fontId="1" fillId="0" borderId="66" xfId="0" applyFont="1" applyBorder="1" applyAlignment="1">
      <alignment vertical="top"/>
    </xf>
    <xf numFmtId="0" fontId="1" fillId="0" borderId="88" xfId="0" applyFont="1" applyBorder="1" applyAlignment="1">
      <alignment horizontal="center" vertical="top"/>
    </xf>
    <xf numFmtId="0" fontId="1" fillId="0" borderId="89" xfId="0" applyFont="1" applyBorder="1" applyAlignment="1">
      <alignment horizontal="center" vertical="top"/>
    </xf>
    <xf numFmtId="0" fontId="1" fillId="0" borderId="90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1" fillId="0" borderId="69" xfId="0" applyFont="1" applyBorder="1" applyAlignment="1">
      <alignment horizontal="center" vertical="top"/>
    </xf>
    <xf numFmtId="0" fontId="1" fillId="0" borderId="91" xfId="0" applyFont="1" applyBorder="1" applyAlignment="1">
      <alignment horizontal="center" vertical="top"/>
    </xf>
    <xf numFmtId="0" fontId="1" fillId="0" borderId="77" xfId="0" applyFont="1" applyBorder="1" applyAlignment="1">
      <alignment vertical="top"/>
    </xf>
    <xf numFmtId="0" fontId="1" fillId="0" borderId="92" xfId="0" applyFont="1" applyBorder="1" applyAlignment="1">
      <alignment vertical="top"/>
    </xf>
    <xf numFmtId="0" fontId="1" fillId="0" borderId="76" xfId="0" applyFont="1" applyBorder="1" applyAlignment="1">
      <alignment vertical="top"/>
    </xf>
    <xf numFmtId="0" fontId="1" fillId="0" borderId="93" xfId="0" applyFont="1" applyBorder="1" applyAlignment="1">
      <alignment horizontal="center" vertical="top"/>
    </xf>
    <xf numFmtId="0" fontId="1" fillId="0" borderId="94" xfId="0" applyFont="1" applyBorder="1" applyAlignment="1">
      <alignment horizontal="center" vertical="top"/>
    </xf>
    <xf numFmtId="0" fontId="6" fillId="0" borderId="75" xfId="0" applyFont="1" applyBorder="1" applyAlignment="1">
      <alignment vertical="top"/>
    </xf>
    <xf numFmtId="0" fontId="6" fillId="0" borderId="92" xfId="0" applyFont="1" applyBorder="1" applyAlignment="1">
      <alignment vertical="top"/>
    </xf>
    <xf numFmtId="0" fontId="6" fillId="0" borderId="92" xfId="0" applyFont="1" applyBorder="1" applyAlignment="1">
      <alignment horizontal="center" vertical="top"/>
    </xf>
    <xf numFmtId="0" fontId="6" fillId="0" borderId="95" xfId="0" applyFont="1" applyBorder="1" applyAlignment="1">
      <alignment horizontal="center" vertical="top"/>
    </xf>
    <xf numFmtId="0" fontId="14" fillId="0" borderId="84" xfId="0" applyFont="1" applyBorder="1" applyAlignment="1">
      <alignment horizontal="center" vertical="top"/>
    </xf>
    <xf numFmtId="0" fontId="0" fillId="0" borderId="85" xfId="0" applyBorder="1" applyAlignment="1">
      <alignment vertical="top"/>
    </xf>
    <xf numFmtId="0" fontId="0" fillId="0" borderId="63" xfId="0" applyBorder="1" applyAlignment="1">
      <alignment vertical="top"/>
    </xf>
    <xf numFmtId="0" fontId="1" fillId="0" borderId="90" xfId="0" applyFont="1" applyBorder="1" applyAlignment="1">
      <alignment horizontal="center" vertical="top"/>
    </xf>
    <xf numFmtId="0" fontId="1" fillId="0" borderId="69" xfId="0" applyFont="1" applyBorder="1" applyAlignment="1">
      <alignment vertical="top"/>
    </xf>
    <xf numFmtId="0" fontId="1" fillId="0" borderId="96" xfId="0" applyFont="1" applyBorder="1" applyAlignment="1">
      <alignment horizontal="center" vertical="top"/>
    </xf>
    <xf numFmtId="0" fontId="1" fillId="0" borderId="97" xfId="0" applyFont="1" applyBorder="1" applyAlignment="1">
      <alignment horizontal="center" vertical="top"/>
    </xf>
    <xf numFmtId="0" fontId="1" fillId="0" borderId="97" xfId="0" applyFont="1" applyBorder="1" applyAlignment="1">
      <alignment vertical="top"/>
    </xf>
    <xf numFmtId="0" fontId="1" fillId="0" borderId="98" xfId="0" applyFont="1" applyBorder="1" applyAlignment="1">
      <alignment vertical="top"/>
    </xf>
    <xf numFmtId="0" fontId="14" fillId="0" borderId="63" xfId="0" applyFont="1" applyBorder="1" applyAlignment="1">
      <alignment vertical="top"/>
    </xf>
    <xf numFmtId="164" fontId="1" fillId="0" borderId="0" xfId="2" applyNumberFormat="1" applyFont="1" applyAlignment="1">
      <alignment horizontal="center"/>
    </xf>
    <xf numFmtId="164" fontId="3" fillId="0" borderId="0" xfId="2" applyNumberFormat="1" applyFont="1"/>
    <xf numFmtId="0" fontId="1" fillId="11" borderId="15" xfId="2" applyFont="1" applyFill="1" applyBorder="1" applyAlignment="1">
      <alignment horizontal="left" vertical="top"/>
    </xf>
    <xf numFmtId="0" fontId="1" fillId="11" borderId="73" xfId="2" applyFont="1" applyFill="1" applyBorder="1" applyAlignment="1">
      <alignment horizontal="center"/>
    </xf>
    <xf numFmtId="0" fontId="1" fillId="11" borderId="99" xfId="2" applyFont="1" applyFill="1" applyBorder="1" applyAlignment="1">
      <alignment horizontal="left" vertical="top"/>
    </xf>
    <xf numFmtId="0" fontId="1" fillId="11" borderId="99" xfId="2" applyFont="1" applyFill="1" applyBorder="1" applyAlignment="1">
      <alignment horizontal="center"/>
    </xf>
    <xf numFmtId="164" fontId="1" fillId="11" borderId="99" xfId="2" applyNumberFormat="1" applyFont="1" applyFill="1" applyBorder="1" applyAlignment="1">
      <alignment horizontal="center"/>
    </xf>
    <xf numFmtId="0" fontId="1" fillId="0" borderId="67" xfId="2" applyFont="1" applyBorder="1" applyAlignment="1">
      <alignment horizontal="center"/>
    </xf>
    <xf numFmtId="164" fontId="1" fillId="0" borderId="0" xfId="2" applyNumberFormat="1" applyFont="1" applyAlignment="1">
      <alignment horizontal="left"/>
    </xf>
    <xf numFmtId="164" fontId="3" fillId="0" borderId="68" xfId="2" applyNumberFormat="1" applyFont="1" applyBorder="1"/>
    <xf numFmtId="0" fontId="1" fillId="0" borderId="70" xfId="2" applyFont="1" applyBorder="1" applyAlignment="1">
      <alignment horizontal="center"/>
    </xf>
    <xf numFmtId="0" fontId="1" fillId="0" borderId="100" xfId="2" applyFont="1" applyBorder="1" applyAlignment="1">
      <alignment horizontal="left"/>
    </xf>
    <xf numFmtId="164" fontId="1" fillId="0" borderId="100" xfId="2" applyNumberFormat="1" applyFont="1" applyBorder="1" applyAlignment="1">
      <alignment horizontal="center"/>
    </xf>
    <xf numFmtId="164" fontId="1" fillId="0" borderId="100" xfId="2" applyNumberFormat="1" applyFont="1" applyBorder="1" applyAlignment="1">
      <alignment horizontal="left"/>
    </xf>
    <xf numFmtId="164" fontId="3" fillId="0" borderId="71" xfId="2" applyNumberFormat="1" applyFont="1" applyBorder="1"/>
    <xf numFmtId="0" fontId="1" fillId="30" borderId="0" xfId="2" applyFont="1" applyFill="1" applyAlignment="1">
      <alignment horizontal="center"/>
    </xf>
    <xf numFmtId="0" fontId="1" fillId="30" borderId="0" xfId="2" applyFont="1" applyFill="1" applyAlignment="1">
      <alignment horizontal="left"/>
    </xf>
    <xf numFmtId="164" fontId="1" fillId="30" borderId="0" xfId="2" applyNumberFormat="1" applyFont="1" applyFill="1" applyAlignment="1">
      <alignment horizontal="center"/>
    </xf>
    <xf numFmtId="164" fontId="3" fillId="30" borderId="0" xfId="2" applyNumberFormat="1" applyFont="1" applyFill="1"/>
    <xf numFmtId="0" fontId="0" fillId="30" borderId="0" xfId="0" applyFill="1" applyAlignment="1">
      <alignment vertical="top"/>
    </xf>
    <xf numFmtId="0" fontId="11" fillId="0" borderId="0" xfId="0" applyFont="1"/>
    <xf numFmtId="0" fontId="3" fillId="0" borderId="0" xfId="0" applyFont="1" applyAlignment="1">
      <alignment horizontal="center"/>
    </xf>
    <xf numFmtId="164" fontId="1" fillId="0" borderId="73" xfId="0" applyNumberFormat="1" applyFont="1" applyBorder="1" applyProtection="1">
      <protection locked="0"/>
    </xf>
    <xf numFmtId="0" fontId="0" fillId="0" borderId="99" xfId="0" applyBorder="1" applyAlignment="1">
      <alignment vertical="top"/>
    </xf>
    <xf numFmtId="0" fontId="1" fillId="0" borderId="99" xfId="0" applyFont="1" applyBorder="1"/>
    <xf numFmtId="164" fontId="1" fillId="0" borderId="99" xfId="0" applyNumberFormat="1" applyFont="1" applyBorder="1" applyAlignment="1">
      <alignment horizontal="center"/>
    </xf>
    <xf numFmtId="164" fontId="1" fillId="0" borderId="74" xfId="0" applyNumberFormat="1" applyFont="1" applyBorder="1" applyAlignment="1">
      <alignment horizontal="center"/>
    </xf>
    <xf numFmtId="164" fontId="1" fillId="0" borderId="67" xfId="0" applyNumberFormat="1" applyFont="1" applyBorder="1" applyProtection="1">
      <protection locked="0"/>
    </xf>
    <xf numFmtId="164" fontId="1" fillId="0" borderId="0" xfId="0" applyNumberFormat="1" applyFont="1" applyAlignment="1">
      <alignment horizontal="center"/>
    </xf>
    <xf numFmtId="164" fontId="1" fillId="0" borderId="68" xfId="0" applyNumberFormat="1" applyFont="1" applyBorder="1" applyAlignment="1">
      <alignment horizontal="center"/>
    </xf>
    <xf numFmtId="164" fontId="1" fillId="0" borderId="70" xfId="0" applyNumberFormat="1" applyFont="1" applyBorder="1" applyProtection="1">
      <protection locked="0"/>
    </xf>
    <xf numFmtId="0" fontId="0" fillId="0" borderId="100" xfId="0" applyBorder="1" applyAlignment="1">
      <alignment vertical="top"/>
    </xf>
    <xf numFmtId="0" fontId="1" fillId="0" borderId="100" xfId="0" applyFont="1" applyBorder="1"/>
    <xf numFmtId="164" fontId="1" fillId="0" borderId="100" xfId="0" applyNumberFormat="1" applyFont="1" applyBorder="1" applyAlignment="1">
      <alignment horizontal="center"/>
    </xf>
    <xf numFmtId="164" fontId="1" fillId="0" borderId="71" xfId="0" applyNumberFormat="1" applyFont="1" applyBorder="1" applyAlignment="1">
      <alignment horizontal="center"/>
    </xf>
    <xf numFmtId="0" fontId="1" fillId="11" borderId="74" xfId="2" quotePrefix="1" applyFont="1" applyFill="1" applyBorder="1" applyAlignment="1">
      <alignment horizontal="center"/>
    </xf>
    <xf numFmtId="0" fontId="3" fillId="0" borderId="13" xfId="2" applyFont="1" applyBorder="1"/>
    <xf numFmtId="0" fontId="1" fillId="0" borderId="18" xfId="2" applyFont="1" applyBorder="1" applyAlignment="1">
      <alignment horizontal="left"/>
    </xf>
    <xf numFmtId="0" fontId="1" fillId="0" borderId="0" xfId="2" applyFont="1" applyFill="1" applyAlignment="1">
      <alignment horizontal="center"/>
    </xf>
    <xf numFmtId="0" fontId="7" fillId="0" borderId="0" xfId="0" applyFont="1" applyAlignment="1">
      <alignment horizontal="right"/>
    </xf>
    <xf numFmtId="0" fontId="1" fillId="0" borderId="0" xfId="0" applyFont="1" applyBorder="1" applyAlignment="1">
      <alignment horizontal="left" vertical="center"/>
    </xf>
    <xf numFmtId="0" fontId="5" fillId="31" borderId="36" xfId="0" applyFont="1" applyFill="1" applyBorder="1"/>
    <xf numFmtId="12" fontId="8" fillId="31" borderId="50" xfId="0" applyNumberFormat="1" applyFont="1" applyFill="1" applyBorder="1" applyAlignment="1">
      <alignment horizontal="center"/>
    </xf>
    <xf numFmtId="0" fontId="8" fillId="27" borderId="0" xfId="0" applyFont="1" applyFill="1" applyAlignment="1" applyProtection="1">
      <alignment horizontal="center"/>
    </xf>
    <xf numFmtId="0" fontId="5" fillId="32" borderId="25" xfId="0" applyFont="1" applyFill="1" applyBorder="1" applyProtection="1"/>
    <xf numFmtId="12" fontId="8" fillId="32" borderId="28" xfId="0" applyNumberFormat="1" applyFont="1" applyFill="1" applyBorder="1" applyAlignment="1" applyProtection="1">
      <alignment horizontal="center"/>
    </xf>
    <xf numFmtId="0" fontId="8" fillId="9" borderId="10" xfId="0" applyFont="1" applyFill="1" applyBorder="1" applyAlignment="1" applyProtection="1">
      <alignment horizontal="center"/>
      <protection locked="0"/>
    </xf>
    <xf numFmtId="0" fontId="5" fillId="31" borderId="101" xfId="0" applyFont="1" applyFill="1" applyBorder="1"/>
    <xf numFmtId="12" fontId="8" fillId="31" borderId="102" xfId="0" applyNumberFormat="1" applyFont="1" applyFill="1" applyBorder="1" applyAlignment="1">
      <alignment horizontal="center"/>
    </xf>
    <xf numFmtId="12" fontId="8" fillId="31" borderId="103" xfId="0" applyNumberFormat="1" applyFont="1" applyFill="1" applyBorder="1" applyAlignment="1">
      <alignment horizontal="center"/>
    </xf>
    <xf numFmtId="0" fontId="8" fillId="9" borderId="11" xfId="0" applyFont="1" applyFill="1" applyBorder="1" applyAlignment="1" applyProtection="1">
      <alignment horizontal="center"/>
      <protection locked="0"/>
    </xf>
    <xf numFmtId="12" fontId="8" fillId="31" borderId="104" xfId="0" applyNumberFormat="1" applyFont="1" applyFill="1" applyBorder="1" applyAlignment="1">
      <alignment horizontal="center"/>
    </xf>
    <xf numFmtId="0" fontId="8" fillId="9" borderId="55" xfId="0" applyFont="1" applyFill="1" applyBorder="1" applyAlignment="1" applyProtection="1">
      <alignment horizontal="center"/>
      <protection locked="0"/>
    </xf>
    <xf numFmtId="0" fontId="5" fillId="31" borderId="105" xfId="0" applyFont="1" applyFill="1" applyBorder="1"/>
    <xf numFmtId="12" fontId="8" fillId="31" borderId="106" xfId="0" applyNumberFormat="1" applyFont="1" applyFill="1" applyBorder="1" applyAlignment="1">
      <alignment horizontal="center"/>
    </xf>
    <xf numFmtId="12" fontId="8" fillId="31" borderId="107" xfId="0" applyNumberFormat="1" applyFont="1" applyFill="1" applyBorder="1" applyAlignment="1">
      <alignment horizontal="center"/>
    </xf>
    <xf numFmtId="3" fontId="8" fillId="32" borderId="0" xfId="0" applyNumberFormat="1" applyFont="1" applyFill="1" applyAlignment="1">
      <alignment horizontal="right"/>
    </xf>
    <xf numFmtId="3" fontId="6" fillId="0" borderId="0" xfId="3" applyNumberFormat="1" applyFont="1" applyFill="1" applyBorder="1" applyAlignment="1">
      <alignment horizontal="right" wrapText="1"/>
    </xf>
    <xf numFmtId="3" fontId="8" fillId="4" borderId="0" xfId="0" applyNumberFormat="1" applyFont="1" applyFill="1" applyBorder="1" applyAlignment="1">
      <alignment horizontal="right"/>
    </xf>
    <xf numFmtId="3" fontId="8" fillId="32" borderId="0" xfId="0" applyNumberFormat="1" applyFont="1" applyFill="1" applyBorder="1" applyAlignment="1" applyProtection="1">
      <alignment horizontal="right"/>
    </xf>
    <xf numFmtId="3" fontId="8" fillId="31" borderId="0" xfId="0" applyNumberFormat="1" applyFont="1" applyFill="1" applyBorder="1" applyAlignment="1">
      <alignment horizontal="right"/>
    </xf>
    <xf numFmtId="0" fontId="17" fillId="0" borderId="0" xfId="0" applyFont="1" applyBorder="1"/>
    <xf numFmtId="166" fontId="1" fillId="0" borderId="0" xfId="0" applyNumberFormat="1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vertical="center"/>
    </xf>
    <xf numFmtId="0" fontId="1" fillId="0" borderId="18" xfId="2" applyFont="1" applyBorder="1" applyAlignment="1">
      <alignment horizontal="center"/>
    </xf>
    <xf numFmtId="0" fontId="6" fillId="8" borderId="0" xfId="3" applyFont="1" applyFill="1" applyAlignment="1">
      <alignment horizontal="center"/>
    </xf>
    <xf numFmtId="167" fontId="6" fillId="8" borderId="0" xfId="6" applyNumberFormat="1" applyFont="1" applyFill="1" applyBorder="1" applyAlignment="1">
      <alignment horizontal="right"/>
    </xf>
    <xf numFmtId="0" fontId="1" fillId="0" borderId="0" xfId="0" applyFont="1" applyAlignment="1">
      <alignment horizontal="right" vertical="top"/>
    </xf>
    <xf numFmtId="0" fontId="1" fillId="0" borderId="0" xfId="0" quotePrefix="1" applyFont="1" applyAlignment="1">
      <alignment vertical="top"/>
    </xf>
    <xf numFmtId="0" fontId="8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8" fillId="7" borderId="0" xfId="0" applyFont="1" applyFill="1" applyAlignment="1">
      <alignment horizontal="left"/>
    </xf>
    <xf numFmtId="0" fontId="8" fillId="18" borderId="0" xfId="0" applyFont="1" applyFill="1" applyAlignment="1" applyProtection="1">
      <alignment horizontal="center"/>
      <protection locked="0"/>
    </xf>
    <xf numFmtId="0" fontId="8" fillId="18" borderId="0" xfId="0" applyFont="1" applyFill="1" applyAlignment="1">
      <alignment horizontal="center"/>
    </xf>
    <xf numFmtId="0" fontId="8" fillId="0" borderId="88" xfId="1" applyBorder="1" applyAlignment="1">
      <alignment horizontal="center"/>
    </xf>
    <xf numFmtId="0" fontId="6" fillId="33" borderId="0" xfId="1" applyFont="1" applyFill="1" applyAlignment="1">
      <alignment horizontal="center"/>
    </xf>
    <xf numFmtId="0" fontId="8" fillId="0" borderId="0" xfId="1" quotePrefix="1" applyAlignment="1">
      <alignment horizontal="center"/>
    </xf>
    <xf numFmtId="0" fontId="8" fillId="0" borderId="0" xfId="1"/>
    <xf numFmtId="0" fontId="6" fillId="0" borderId="88" xfId="1" applyFont="1" applyBorder="1" applyAlignment="1">
      <alignment horizontal="center"/>
    </xf>
    <xf numFmtId="0" fontId="8" fillId="0" borderId="0" xfId="1" applyAlignment="1">
      <alignment horizontal="center"/>
    </xf>
    <xf numFmtId="0" fontId="8" fillId="0" borderId="0" xfId="1" quotePrefix="1" applyAlignment="1">
      <alignment horizontal="right"/>
    </xf>
    <xf numFmtId="0" fontId="1" fillId="0" borderId="0" xfId="0" applyFont="1" applyAlignment="1">
      <alignment horizontal="center" wrapText="1"/>
    </xf>
    <xf numFmtId="0" fontId="1" fillId="0" borderId="0" xfId="0" applyFont="1" applyFill="1" applyProtection="1">
      <protection locked="0"/>
    </xf>
    <xf numFmtId="3" fontId="1" fillId="0" borderId="0" xfId="0" applyNumberFormat="1" applyFont="1" applyFill="1" applyAlignment="1" applyProtection="1">
      <alignment horizontal="right"/>
      <protection locked="0"/>
    </xf>
    <xf numFmtId="0" fontId="6" fillId="0" borderId="0" xfId="1" applyFont="1"/>
    <xf numFmtId="0" fontId="6" fillId="30" borderId="0" xfId="1" applyFont="1" applyFill="1" applyAlignment="1">
      <alignment vertical="center"/>
    </xf>
    <xf numFmtId="0" fontId="8" fillId="30" borderId="0" xfId="1" applyFill="1" applyAlignment="1">
      <alignment vertical="center"/>
    </xf>
    <xf numFmtId="0" fontId="8" fillId="0" borderId="0" xfId="1" applyAlignment="1">
      <alignment vertical="center"/>
    </xf>
    <xf numFmtId="0" fontId="8" fillId="18" borderId="0" xfId="1" applyFill="1"/>
    <xf numFmtId="0" fontId="6" fillId="0" borderId="0" xfId="1" applyFont="1" applyAlignment="1">
      <alignment horizontal="center"/>
    </xf>
    <xf numFmtId="0" fontId="8" fillId="18" borderId="0" xfId="1" applyFill="1" applyProtection="1">
      <protection locked="0"/>
    </xf>
    <xf numFmtId="0" fontId="8" fillId="31" borderId="0" xfId="1" applyFill="1" applyAlignment="1">
      <alignment horizontal="center"/>
    </xf>
    <xf numFmtId="0" fontId="6" fillId="0" borderId="0" xfId="1" quotePrefix="1" applyFont="1" applyAlignment="1">
      <alignment horizontal="center"/>
    </xf>
    <xf numFmtId="0" fontId="8" fillId="0" borderId="0" xfId="1" applyAlignment="1">
      <alignment horizontal="center" vertical="center"/>
    </xf>
    <xf numFmtId="0" fontId="8" fillId="0" borderId="0" xfId="1" applyAlignment="1">
      <alignment horizontal="right" vertical="center"/>
    </xf>
    <xf numFmtId="0" fontId="0" fillId="0" borderId="0" xfId="0"/>
    <xf numFmtId="0" fontId="0" fillId="0" borderId="0" xfId="0"/>
    <xf numFmtId="0" fontId="8" fillId="9" borderId="0" xfId="0" applyFont="1" applyFill="1" applyAlignment="1" applyProtection="1">
      <protection locked="0"/>
    </xf>
    <xf numFmtId="0" fontId="0" fillId="0" borderId="0" xfId="0" applyAlignment="1" applyProtection="1">
      <protection locked="0"/>
    </xf>
    <xf numFmtId="0" fontId="8" fillId="0" borderId="0" xfId="1" quotePrefix="1"/>
    <xf numFmtId="0" fontId="31" fillId="0" borderId="0" xfId="0" applyFont="1"/>
    <xf numFmtId="0" fontId="7" fillId="0" borderId="0" xfId="0" applyFont="1" applyAlignment="1">
      <alignment horizontal="right" vertical="center"/>
    </xf>
    <xf numFmtId="164" fontId="11" fillId="0" borderId="0" xfId="0" applyNumberFormat="1" applyFont="1" applyFill="1" applyBorder="1" applyAlignment="1">
      <alignment horizontal="right" vertical="center"/>
    </xf>
    <xf numFmtId="0" fontId="7" fillId="0" borderId="0" xfId="0" applyFont="1"/>
    <xf numFmtId="0" fontId="8" fillId="18" borderId="0" xfId="0" applyFont="1" applyFill="1" applyAlignment="1" applyProtection="1">
      <protection locked="0"/>
    </xf>
    <xf numFmtId="0" fontId="0" fillId="18" borderId="0" xfId="0" applyFill="1" applyAlignment="1" applyProtection="1">
      <protection locked="0"/>
    </xf>
    <xf numFmtId="0" fontId="8" fillId="18" borderId="0" xfId="0" applyFont="1" applyFill="1"/>
    <xf numFmtId="0" fontId="6" fillId="0" borderId="0" xfId="0" applyFont="1" applyFill="1"/>
    <xf numFmtId="1" fontId="8" fillId="0" borderId="0" xfId="0" applyNumberFormat="1" applyFont="1" applyFill="1" applyAlignment="1" applyProtection="1">
      <alignment horizontal="center" vertical="center"/>
      <protection locked="0"/>
    </xf>
    <xf numFmtId="1" fontId="8" fillId="9" borderId="0" xfId="0" applyNumberFormat="1" applyFont="1" applyFill="1" applyAlignment="1" applyProtection="1">
      <alignment horizontal="center" vertical="center"/>
      <protection locked="0"/>
    </xf>
    <xf numFmtId="1" fontId="8" fillId="0" borderId="0" xfId="0" applyNumberFormat="1" applyFont="1" applyFill="1" applyAlignment="1" applyProtection="1">
      <alignment horizontal="right" indent="1"/>
      <protection locked="0"/>
    </xf>
    <xf numFmtId="1" fontId="8" fillId="34" borderId="108" xfId="0" applyNumberFormat="1" applyFont="1" applyFill="1" applyBorder="1" applyAlignment="1" applyProtection="1">
      <alignment horizontal="right" indent="1"/>
      <protection locked="0"/>
    </xf>
    <xf numFmtId="1" fontId="1" fillId="8" borderId="0" xfId="0" applyNumberFormat="1" applyFont="1" applyFill="1" applyAlignment="1">
      <alignment horizontal="center"/>
    </xf>
    <xf numFmtId="0" fontId="8" fillId="0" borderId="0" xfId="0" applyFont="1" applyFill="1" applyAlignment="1" applyProtection="1">
      <protection locked="0"/>
    </xf>
    <xf numFmtId="0" fontId="0" fillId="0" borderId="0" xfId="0" applyFill="1" applyAlignment="1" applyProtection="1">
      <protection locked="0"/>
    </xf>
    <xf numFmtId="0" fontId="8" fillId="0" borderId="0" xfId="0" applyFont="1" applyFill="1" applyProtection="1"/>
    <xf numFmtId="0" fontId="32" fillId="0" borderId="0" xfId="0" applyFont="1" applyAlignment="1">
      <alignment horizontal="right"/>
    </xf>
    <xf numFmtId="0" fontId="32" fillId="0" borderId="0" xfId="0" applyFont="1"/>
    <xf numFmtId="1" fontId="1" fillId="0" borderId="0" xfId="0" applyNumberFormat="1" applyFont="1" applyAlignment="1">
      <alignment horizontal="center"/>
    </xf>
    <xf numFmtId="1" fontId="1" fillId="9" borderId="0" xfId="0" applyNumberFormat="1" applyFont="1" applyFill="1" applyAlignment="1" applyProtection="1">
      <alignment horizontal="center"/>
      <protection locked="0"/>
    </xf>
    <xf numFmtId="0" fontId="8" fillId="18" borderId="0" xfId="0" applyFont="1" applyFill="1" applyAlignment="1">
      <alignment horizontal="right"/>
    </xf>
    <xf numFmtId="1" fontId="8" fillId="30" borderId="108" xfId="0" applyNumberFormat="1" applyFont="1" applyFill="1" applyBorder="1" applyAlignment="1" applyProtection="1">
      <alignment horizontal="center" vertical="center"/>
      <protection locked="0"/>
    </xf>
    <xf numFmtId="168" fontId="8" fillId="0" borderId="0" xfId="0" applyNumberFormat="1" applyFont="1" applyAlignment="1">
      <alignment horizontal="center"/>
    </xf>
    <xf numFmtId="1" fontId="8" fillId="9" borderId="109" xfId="0" applyNumberFormat="1" applyFont="1" applyFill="1" applyBorder="1" applyAlignment="1" applyProtection="1">
      <alignment horizontal="center" vertical="center"/>
      <protection locked="0"/>
    </xf>
    <xf numFmtId="1" fontId="8" fillId="9" borderId="110" xfId="0" applyNumberFormat="1" applyFont="1" applyFill="1" applyBorder="1" applyAlignment="1" applyProtection="1">
      <alignment horizontal="center" vertical="center"/>
      <protection locked="0"/>
    </xf>
    <xf numFmtId="1" fontId="8" fillId="9" borderId="111" xfId="0" applyNumberFormat="1" applyFont="1" applyFill="1" applyBorder="1" applyAlignment="1" applyProtection="1">
      <alignment horizontal="center" vertical="center"/>
      <protection locked="0"/>
    </xf>
    <xf numFmtId="168" fontId="8" fillId="18" borderId="0" xfId="0" applyNumberFormat="1" applyFont="1" applyFill="1" applyAlignment="1">
      <alignment horizontal="center"/>
    </xf>
    <xf numFmtId="9" fontId="8" fillId="18" borderId="0" xfId="0" applyNumberFormat="1" applyFont="1" applyFill="1"/>
    <xf numFmtId="9" fontId="14" fillId="0" borderId="0" xfId="0" applyNumberFormat="1" applyFont="1" applyAlignment="1">
      <alignment vertical="center"/>
    </xf>
    <xf numFmtId="9" fontId="1" fillId="0" borderId="0" xfId="0" applyNumberFormat="1" applyFont="1" applyAlignment="1">
      <alignment vertical="center"/>
    </xf>
    <xf numFmtId="0" fontId="0" fillId="18" borderId="0" xfId="0" applyFill="1"/>
    <xf numFmtId="0" fontId="1" fillId="0" borderId="0" xfId="0" applyFont="1" applyAlignment="1" applyProtection="1">
      <alignment horizontal="right"/>
      <protection locked="0"/>
    </xf>
    <xf numFmtId="0" fontId="25" fillId="0" borderId="0" xfId="1" applyFont="1"/>
    <xf numFmtId="3" fontId="25" fillId="0" borderId="0" xfId="1" applyNumberFormat="1" applyFont="1"/>
    <xf numFmtId="3" fontId="6" fillId="0" borderId="11" xfId="1" applyNumberFormat="1" applyFont="1" applyBorder="1" applyAlignment="1">
      <alignment horizontal="center"/>
    </xf>
    <xf numFmtId="3" fontId="6" fillId="0" borderId="0" xfId="1" applyNumberFormat="1" applyFont="1" applyAlignment="1">
      <alignment horizontal="center"/>
    </xf>
    <xf numFmtId="3" fontId="6" fillId="0" borderId="12" xfId="1" applyNumberFormat="1" applyFont="1" applyBorder="1" applyAlignment="1">
      <alignment horizontal="center"/>
    </xf>
    <xf numFmtId="0" fontId="4" fillId="0" borderId="109" xfId="1" applyFont="1" applyBorder="1" applyAlignment="1">
      <alignment horizontal="center"/>
    </xf>
    <xf numFmtId="0" fontId="4" fillId="0" borderId="110" xfId="1" applyFont="1" applyBorder="1" applyAlignment="1">
      <alignment horizontal="right"/>
    </xf>
    <xf numFmtId="0" fontId="4" fillId="0" borderId="110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34" fillId="0" borderId="0" xfId="0" applyFont="1"/>
    <xf numFmtId="0" fontId="35" fillId="0" borderId="0" xfId="0" applyFont="1"/>
    <xf numFmtId="0" fontId="35" fillId="8" borderId="0" xfId="3" applyFont="1" applyFill="1" applyBorder="1" applyAlignment="1">
      <alignment horizontal="right" indent="1"/>
    </xf>
    <xf numFmtId="0" fontId="35" fillId="8" borderId="0" xfId="3" applyFont="1" applyFill="1" applyBorder="1" applyAlignment="1">
      <alignment horizontal="center"/>
    </xf>
    <xf numFmtId="0" fontId="36" fillId="8" borderId="0" xfId="3" applyFont="1" applyFill="1" applyBorder="1" applyAlignment="1">
      <alignment horizontal="right"/>
    </xf>
    <xf numFmtId="0" fontId="36" fillId="8" borderId="0" xfId="3" applyFont="1" applyFill="1" applyBorder="1" applyAlignment="1">
      <alignment horizontal="left"/>
    </xf>
    <xf numFmtId="0" fontId="37" fillId="8" borderId="0" xfId="3" applyFont="1" applyFill="1" applyBorder="1" applyAlignment="1">
      <alignment horizontal="center"/>
    </xf>
    <xf numFmtId="168" fontId="34" fillId="0" borderId="0" xfId="0" applyNumberFormat="1" applyFont="1" applyAlignment="1">
      <alignment horizontal="center"/>
    </xf>
    <xf numFmtId="9" fontId="34" fillId="0" borderId="0" xfId="0" applyNumberFormat="1" applyFont="1"/>
    <xf numFmtId="0" fontId="35" fillId="0" borderId="0" xfId="0" applyFont="1" applyAlignment="1">
      <alignment horizontal="right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right"/>
    </xf>
    <xf numFmtId="0" fontId="34" fillId="33" borderId="0" xfId="0" applyFont="1" applyFill="1"/>
    <xf numFmtId="3" fontId="8" fillId="0" borderId="57" xfId="1" applyNumberFormat="1" applyFont="1" applyBorder="1"/>
    <xf numFmtId="3" fontId="8" fillId="0" borderId="111" xfId="1" applyNumberFormat="1" applyFont="1" applyBorder="1"/>
    <xf numFmtId="3" fontId="8" fillId="0" borderId="56" xfId="0" applyNumberFormat="1" applyFont="1" applyFill="1" applyBorder="1" applyAlignment="1" applyProtection="1">
      <alignment horizontal="right"/>
      <protection locked="0"/>
    </xf>
    <xf numFmtId="3" fontId="25" fillId="0" borderId="56" xfId="0" applyNumberFormat="1" applyFont="1" applyBorder="1" applyAlignment="1">
      <alignment horizontal="right"/>
    </xf>
    <xf numFmtId="0" fontId="4" fillId="29" borderId="10" xfId="1" applyFont="1" applyFill="1" applyBorder="1"/>
    <xf numFmtId="0" fontId="25" fillId="29" borderId="17" xfId="1" applyFont="1" applyFill="1" applyBorder="1"/>
    <xf numFmtId="0" fontId="25" fillId="29" borderId="33" xfId="1" applyFont="1" applyFill="1" applyBorder="1"/>
    <xf numFmtId="3" fontId="25" fillId="0" borderId="0" xfId="1" applyNumberFormat="1" applyFont="1" applyFill="1" applyProtection="1">
      <protection locked="0"/>
    </xf>
    <xf numFmtId="3" fontId="33" fillId="0" borderId="0" xfId="1" applyNumberFormat="1" applyFont="1" applyFill="1" applyProtection="1">
      <protection locked="0"/>
    </xf>
    <xf numFmtId="14" fontId="25" fillId="18" borderId="0" xfId="1" applyNumberFormat="1" applyFont="1" applyFill="1" applyProtection="1">
      <protection locked="0"/>
    </xf>
    <xf numFmtId="0" fontId="25" fillId="18" borderId="0" xfId="1" applyFont="1" applyFill="1" applyProtection="1">
      <protection locked="0"/>
    </xf>
    <xf numFmtId="3" fontId="25" fillId="18" borderId="0" xfId="1" applyNumberFormat="1" applyFont="1" applyFill="1" applyProtection="1">
      <protection locked="0"/>
    </xf>
    <xf numFmtId="3" fontId="33" fillId="18" borderId="0" xfId="1" applyNumberFormat="1" applyFont="1" applyFill="1" applyProtection="1">
      <protection locked="0"/>
    </xf>
    <xf numFmtId="167" fontId="4" fillId="0" borderId="0" xfId="6" applyNumberFormat="1" applyFont="1" applyFill="1" applyAlignment="1" applyProtection="1">
      <alignment horizontal="right"/>
    </xf>
    <xf numFmtId="0" fontId="25" fillId="0" borderId="0" xfId="1" applyFont="1" applyFill="1" applyProtection="1"/>
    <xf numFmtId="3" fontId="25" fillId="0" borderId="0" xfId="1" applyNumberFormat="1" applyFont="1" applyFill="1" applyProtection="1"/>
    <xf numFmtId="3" fontId="33" fillId="0" borderId="0" xfId="1" applyNumberFormat="1" applyFont="1" applyFill="1" applyProtection="1"/>
    <xf numFmtId="169" fontId="33" fillId="0" borderId="0" xfId="1" applyNumberFormat="1" applyFont="1" applyFill="1" applyAlignment="1" applyProtection="1">
      <alignment horizontal="center"/>
    </xf>
    <xf numFmtId="0" fontId="33" fillId="0" borderId="0" xfId="1" applyFont="1" applyFill="1" applyProtection="1"/>
    <xf numFmtId="14" fontId="4" fillId="0" borderId="112" xfId="1" applyNumberFormat="1" applyFont="1" applyFill="1" applyBorder="1" applyAlignment="1" applyProtection="1">
      <alignment horizontal="center"/>
    </xf>
    <xf numFmtId="0" fontId="4" fillId="0" borderId="112" xfId="1" applyFont="1" applyFill="1" applyBorder="1" applyAlignment="1" applyProtection="1">
      <alignment horizontal="center"/>
    </xf>
    <xf numFmtId="3" fontId="4" fillId="0" borderId="112" xfId="1" applyNumberFormat="1" applyFont="1" applyFill="1" applyBorder="1" applyAlignment="1" applyProtection="1">
      <alignment horizontal="center"/>
    </xf>
    <xf numFmtId="3" fontId="4" fillId="0" borderId="112" xfId="1" quotePrefix="1" applyNumberFormat="1" applyFont="1" applyFill="1" applyBorder="1" applyAlignment="1" applyProtection="1">
      <alignment horizontal="center"/>
    </xf>
    <xf numFmtId="3" fontId="8" fillId="9" borderId="55" xfId="1" applyNumberFormat="1" applyFont="1" applyFill="1" applyBorder="1" applyProtection="1">
      <protection locked="0"/>
    </xf>
    <xf numFmtId="3" fontId="8" fillId="9" borderId="56" xfId="1" applyNumberFormat="1" applyFont="1" applyFill="1" applyBorder="1" applyProtection="1">
      <protection locked="0"/>
    </xf>
    <xf numFmtId="3" fontId="8" fillId="9" borderId="110" xfId="1" applyNumberFormat="1" applyFont="1" applyFill="1" applyBorder="1" applyProtection="1">
      <protection locked="0"/>
    </xf>
    <xf numFmtId="0" fontId="14" fillId="35" borderId="0" xfId="0" applyFont="1" applyFill="1" applyAlignment="1"/>
    <xf numFmtId="0" fontId="8" fillId="35" borderId="0" xfId="0" applyFont="1" applyFill="1"/>
    <xf numFmtId="0" fontId="29" fillId="35" borderId="0" xfId="0" applyFont="1" applyFill="1" applyAlignment="1">
      <alignment horizontal="right"/>
    </xf>
    <xf numFmtId="0" fontId="1" fillId="35" borderId="0" xfId="0" applyFont="1" applyFill="1" applyAlignment="1"/>
    <xf numFmtId="0" fontId="6" fillId="35" borderId="0" xfId="0" applyFont="1" applyFill="1"/>
    <xf numFmtId="0" fontId="1" fillId="35" borderId="0" xfId="0" applyFont="1" applyFill="1" applyAlignment="1">
      <alignment vertical="top"/>
    </xf>
    <xf numFmtId="0" fontId="0" fillId="0" borderId="0" xfId="0"/>
    <xf numFmtId="0" fontId="0" fillId="0" borderId="0" xfId="0" applyBorder="1" applyAlignment="1"/>
    <xf numFmtId="0" fontId="1" fillId="0" borderId="15" xfId="0" applyFont="1" applyFill="1" applyBorder="1" applyAlignment="1">
      <alignment vertical="center"/>
    </xf>
    <xf numFmtId="0" fontId="0" fillId="0" borderId="15" xfId="0" applyFill="1" applyBorder="1" applyAlignment="1"/>
    <xf numFmtId="0" fontId="3" fillId="0" borderId="0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vertical="center"/>
    </xf>
    <xf numFmtId="164" fontId="1" fillId="32" borderId="0" xfId="0" applyNumberFormat="1" applyFont="1" applyFill="1" applyBorder="1" applyAlignment="1">
      <alignment vertical="center"/>
    </xf>
    <xf numFmtId="0" fontId="1" fillId="32" borderId="0" xfId="0" applyFont="1" applyFill="1" applyBorder="1" applyAlignment="1">
      <alignment horizontal="center" vertical="center"/>
    </xf>
    <xf numFmtId="0" fontId="8" fillId="0" borderId="113" xfId="0" applyFont="1" applyBorder="1"/>
    <xf numFmtId="170" fontId="3" fillId="0" borderId="0" xfId="0" applyNumberFormat="1" applyFont="1" applyBorder="1" applyAlignment="1"/>
    <xf numFmtId="0" fontId="0" fillId="0" borderId="0" xfId="0" applyFont="1" applyAlignment="1">
      <alignment horizontal="center"/>
    </xf>
    <xf numFmtId="0" fontId="38" fillId="0" borderId="0" xfId="7" applyFont="1" applyAlignment="1">
      <alignment horizontal="right"/>
    </xf>
    <xf numFmtId="0" fontId="1" fillId="18" borderId="0" xfId="7" applyFont="1" applyFill="1" applyAlignment="1">
      <alignment horizontal="center"/>
    </xf>
    <xf numFmtId="0" fontId="39" fillId="0" borderId="0" xfId="7" applyFont="1" applyAlignment="1">
      <alignment horizontal="right"/>
    </xf>
    <xf numFmtId="0" fontId="39" fillId="0" borderId="0" xfId="7" applyFont="1"/>
    <xf numFmtId="0" fontId="39" fillId="0" borderId="0" xfId="7" applyFont="1" applyAlignment="1">
      <alignment horizontal="center"/>
    </xf>
    <xf numFmtId="0" fontId="8" fillId="18" borderId="0" xfId="7" applyFill="1" applyAlignment="1">
      <alignment horizontal="right"/>
    </xf>
    <xf numFmtId="0" fontId="6" fillId="0" borderId="0" xfId="7" applyFont="1" applyAlignment="1">
      <alignment horizontal="center"/>
    </xf>
    <xf numFmtId="0" fontId="6" fillId="0" borderId="0" xfId="7" applyFont="1"/>
    <xf numFmtId="0" fontId="8" fillId="0" borderId="0" xfId="7" applyAlignment="1">
      <alignment horizontal="center"/>
    </xf>
    <xf numFmtId="0" fontId="40" fillId="0" borderId="0" xfId="7" applyFont="1" applyAlignment="1">
      <alignment horizontal="right"/>
    </xf>
    <xf numFmtId="0" fontId="8" fillId="0" borderId="0" xfId="7"/>
    <xf numFmtId="0" fontId="8" fillId="0" borderId="0" xfId="7" applyAlignment="1">
      <alignment horizontal="right"/>
    </xf>
    <xf numFmtId="0" fontId="39" fillId="18" borderId="0" xfId="7" applyFont="1" applyFill="1" applyAlignment="1">
      <alignment horizontal="center"/>
    </xf>
    <xf numFmtId="0" fontId="29" fillId="0" borderId="0" xfId="7" applyFont="1"/>
    <xf numFmtId="0" fontId="8" fillId="0" borderId="0" xfId="7" applyAlignment="1">
      <alignment horizontal="right" vertical="center"/>
    </xf>
    <xf numFmtId="0" fontId="8" fillId="18" borderId="0" xfId="7" applyFill="1" applyAlignment="1">
      <alignment horizontal="right" vertical="center" indent="1"/>
    </xf>
    <xf numFmtId="0" fontId="8" fillId="33" borderId="114" xfId="7" applyFill="1" applyBorder="1" applyAlignment="1">
      <alignment horizontal="right" vertical="center" indent="1"/>
    </xf>
    <xf numFmtId="0" fontId="6" fillId="33" borderId="114" xfId="7" applyFont="1" applyFill="1" applyBorder="1" applyAlignment="1">
      <alignment horizontal="right" vertical="center" indent="1"/>
    </xf>
    <xf numFmtId="164" fontId="8" fillId="33" borderId="114" xfId="7" applyNumberFormat="1" applyFill="1" applyBorder="1" applyAlignment="1">
      <alignment vertical="center"/>
    </xf>
    <xf numFmtId="0" fontId="29" fillId="0" borderId="0" xfId="7" applyFont="1" applyAlignment="1">
      <alignment horizontal="center" vertical="center"/>
    </xf>
    <xf numFmtId="0" fontId="29" fillId="0" borderId="0" xfId="7" applyFont="1" applyAlignment="1">
      <alignment vertical="center"/>
    </xf>
    <xf numFmtId="0" fontId="29" fillId="0" borderId="0" xfId="7" applyFont="1" applyAlignment="1">
      <alignment horizontal="right" vertical="center"/>
    </xf>
    <xf numFmtId="9" fontId="29" fillId="0" borderId="0" xfId="7" applyNumberFormat="1" applyFont="1" applyAlignment="1">
      <alignment horizontal="right" vertical="center"/>
    </xf>
    <xf numFmtId="0" fontId="8" fillId="0" borderId="0" xfId="7" applyAlignment="1">
      <alignment vertical="center"/>
    </xf>
    <xf numFmtId="0" fontId="8" fillId="33" borderId="115" xfId="7" applyFill="1" applyBorder="1" applyAlignment="1">
      <alignment horizontal="right" vertical="center" indent="1"/>
    </xf>
    <xf numFmtId="164" fontId="8" fillId="33" borderId="115" xfId="7" applyNumberFormat="1" applyFill="1" applyBorder="1" applyAlignment="1">
      <alignment vertical="center"/>
    </xf>
    <xf numFmtId="0" fontId="1" fillId="0" borderId="0" xfId="7" applyFont="1"/>
    <xf numFmtId="0" fontId="6" fillId="29" borderId="0" xfId="7" applyFont="1" applyFill="1" applyAlignment="1">
      <alignment horizontal="right"/>
    </xf>
    <xf numFmtId="0" fontId="6" fillId="29" borderId="0" xfId="7" applyFont="1" applyFill="1"/>
    <xf numFmtId="0" fontId="6" fillId="0" borderId="10" xfId="7" applyFont="1" applyBorder="1"/>
    <xf numFmtId="0" fontId="8" fillId="0" borderId="17" xfId="7" applyBorder="1"/>
    <xf numFmtId="0" fontId="8" fillId="0" borderId="33" xfId="7" applyBorder="1"/>
    <xf numFmtId="0" fontId="5" fillId="0" borderId="11" xfId="7" applyFont="1" applyBorder="1"/>
    <xf numFmtId="0" fontId="5" fillId="30" borderId="0" xfId="7" applyFont="1" applyFill="1"/>
    <xf numFmtId="0" fontId="5" fillId="30" borderId="12" xfId="7" applyFont="1" applyFill="1" applyBorder="1"/>
    <xf numFmtId="0" fontId="6" fillId="35" borderId="0" xfId="7" applyFont="1" applyFill="1" applyAlignment="1">
      <alignment horizontal="center"/>
    </xf>
    <xf numFmtId="0" fontId="8" fillId="0" borderId="11" xfId="7" applyBorder="1" applyAlignment="1">
      <alignment horizontal="right"/>
    </xf>
    <xf numFmtId="0" fontId="8" fillId="18" borderId="0" xfId="7" applyFill="1" applyAlignment="1">
      <alignment horizontal="center"/>
    </xf>
    <xf numFmtId="0" fontId="8" fillId="0" borderId="12" xfId="7" applyBorder="1" applyAlignment="1">
      <alignment horizontal="center"/>
    </xf>
    <xf numFmtId="0" fontId="8" fillId="18" borderId="0" xfId="7" applyFill="1"/>
    <xf numFmtId="0" fontId="8" fillId="18" borderId="12" xfId="7" applyFill="1" applyBorder="1" applyAlignment="1">
      <alignment horizontal="center"/>
    </xf>
    <xf numFmtId="0" fontId="8" fillId="0" borderId="55" xfId="7" applyBorder="1" applyAlignment="1">
      <alignment horizontal="right"/>
    </xf>
    <xf numFmtId="0" fontId="8" fillId="0" borderId="56" xfId="7" applyBorder="1"/>
    <xf numFmtId="0" fontId="8" fillId="0" borderId="56" xfId="7" applyBorder="1" applyAlignment="1">
      <alignment horizontal="center"/>
    </xf>
    <xf numFmtId="0" fontId="8" fillId="18" borderId="56" xfId="7" applyFill="1" applyBorder="1" applyAlignment="1">
      <alignment horizontal="center"/>
    </xf>
    <xf numFmtId="0" fontId="8" fillId="18" borderId="57" xfId="7" applyFill="1" applyBorder="1" applyAlignment="1">
      <alignment horizontal="center"/>
    </xf>
    <xf numFmtId="0" fontId="1" fillId="34" borderId="0" xfId="0" applyFont="1" applyFill="1" applyAlignment="1" applyProtection="1">
      <alignment horizontal="center" vertical="center"/>
      <protection locked="0"/>
    </xf>
    <xf numFmtId="0" fontId="41" fillId="22" borderId="0" xfId="7" applyFont="1" applyFill="1" applyAlignment="1">
      <alignment horizontal="center"/>
    </xf>
    <xf numFmtId="0" fontId="8" fillId="22" borderId="0" xfId="7" applyFill="1"/>
    <xf numFmtId="0" fontId="29" fillId="22" borderId="0" xfId="7" applyFont="1" applyFill="1"/>
    <xf numFmtId="0" fontId="6" fillId="0" borderId="2" xfId="3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 applyFont="1"/>
    <xf numFmtId="0" fontId="14" fillId="0" borderId="0" xfId="0" applyFont="1" applyFill="1" applyAlignment="1">
      <alignment horizontal="center"/>
    </xf>
    <xf numFmtId="0" fontId="14" fillId="0" borderId="0" xfId="0" applyFont="1" applyAlignment="1">
      <alignment horizontal="left" vertical="center"/>
    </xf>
    <xf numFmtId="0" fontId="8" fillId="36" borderId="0" xfId="0" applyFont="1" applyFill="1" applyAlignment="1" applyProtection="1">
      <alignment horizontal="center"/>
      <protection locked="0"/>
    </xf>
    <xf numFmtId="0" fontId="1" fillId="18" borderId="0" xfId="0" applyFont="1" applyFill="1" applyAlignment="1" applyProtection="1">
      <alignment vertical="center"/>
      <protection locked="0"/>
    </xf>
    <xf numFmtId="0" fontId="14" fillId="11" borderId="15" xfId="0" applyFont="1" applyFill="1" applyBorder="1" applyAlignment="1">
      <alignment vertical="center"/>
    </xf>
    <xf numFmtId="164" fontId="12" fillId="0" borderId="0" xfId="2" applyNumberFormat="1" applyFont="1" applyBorder="1" applyAlignment="1">
      <alignment horizontal="left"/>
    </xf>
    <xf numFmtId="164" fontId="1" fillId="0" borderId="0" xfId="0" applyNumberFormat="1" applyFont="1" applyFill="1" applyBorder="1" applyAlignment="1">
      <alignment horizontal="left" vertical="center"/>
    </xf>
    <xf numFmtId="164" fontId="7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64" fontId="1" fillId="0" borderId="0" xfId="0" quotePrefix="1" applyNumberFormat="1" applyFont="1" applyFill="1" applyBorder="1" applyAlignment="1">
      <alignment horizontal="left" vertical="center"/>
    </xf>
    <xf numFmtId="0" fontId="0" fillId="0" borderId="0" xfId="0"/>
    <xf numFmtId="0" fontId="1" fillId="0" borderId="0" xfId="0" quotePrefix="1" applyFont="1" applyAlignment="1">
      <alignment horizontal="right"/>
    </xf>
    <xf numFmtId="164" fontId="1" fillId="0" borderId="0" xfId="0" applyNumberFormat="1" applyFont="1" applyFill="1" applyBorder="1" applyAlignment="1">
      <alignment horizontal="left" vertical="center"/>
    </xf>
    <xf numFmtId="164" fontId="0" fillId="0" borderId="0" xfId="0" applyNumberFormat="1" applyBorder="1" applyAlignment="1">
      <alignment horizontal="left"/>
    </xf>
    <xf numFmtId="164" fontId="1" fillId="0" borderId="0" xfId="0" quotePrefix="1" applyNumberFormat="1" applyFont="1" applyFill="1" applyBorder="1" applyAlignment="1">
      <alignment horizontal="left" vertical="center"/>
    </xf>
    <xf numFmtId="164" fontId="1" fillId="0" borderId="25" xfId="0" applyNumberFormat="1" applyFont="1" applyFill="1" applyBorder="1" applyAlignment="1"/>
    <xf numFmtId="0" fontId="1" fillId="0" borderId="28" xfId="0" applyFont="1" applyFill="1" applyBorder="1" applyAlignment="1"/>
    <xf numFmtId="164" fontId="1" fillId="0" borderId="24" xfId="0" applyNumberFormat="1" applyFont="1" applyFill="1" applyBorder="1" applyAlignment="1" applyProtection="1"/>
    <xf numFmtId="0" fontId="1" fillId="0" borderId="26" xfId="0" applyFont="1" applyFill="1" applyBorder="1" applyAlignment="1" applyProtection="1"/>
    <xf numFmtId="0" fontId="11" fillId="0" borderId="0" xfId="0" applyFont="1" applyAlignment="1">
      <alignment horizontal="left"/>
    </xf>
    <xf numFmtId="164" fontId="1" fillId="0" borderId="25" xfId="0" applyNumberFormat="1" applyFont="1" applyFill="1" applyBorder="1" applyAlignment="1" applyProtection="1">
      <protection locked="0"/>
    </xf>
    <xf numFmtId="164" fontId="1" fillId="0" borderId="52" xfId="0" applyNumberFormat="1" applyFont="1" applyFill="1" applyBorder="1" applyAlignment="1"/>
    <xf numFmtId="0" fontId="1" fillId="0" borderId="30" xfId="0" applyFont="1" applyFill="1" applyBorder="1" applyAlignment="1"/>
    <xf numFmtId="164" fontId="1" fillId="0" borderId="24" xfId="0" applyNumberFormat="1" applyFont="1" applyFill="1" applyBorder="1" applyAlignment="1" applyProtection="1">
      <protection locked="0"/>
    </xf>
    <xf numFmtId="0" fontId="1" fillId="0" borderId="26" xfId="0" applyFont="1" applyFill="1" applyBorder="1" applyAlignment="1"/>
    <xf numFmtId="164" fontId="1" fillId="0" borderId="52" xfId="0" applyNumberFormat="1" applyFont="1" applyFill="1" applyBorder="1" applyAlignment="1" applyProtection="1">
      <protection locked="0"/>
    </xf>
    <xf numFmtId="164" fontId="7" fillId="0" borderId="0" xfId="0" applyNumberFormat="1" applyFont="1" applyFill="1" applyBorder="1" applyAlignment="1">
      <alignment horizontal="left" vertical="center"/>
    </xf>
    <xf numFmtId="164" fontId="5" fillId="0" borderId="0" xfId="0" applyNumberFormat="1" applyFont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1" fillId="0" borderId="15" xfId="0" applyFont="1" applyFill="1" applyBorder="1" applyAlignment="1">
      <alignment horizontal="left" vertical="center"/>
    </xf>
    <xf numFmtId="0" fontId="0" fillId="0" borderId="15" xfId="0" applyFill="1" applyBorder="1" applyAlignment="1">
      <alignment horizontal="left"/>
    </xf>
    <xf numFmtId="0" fontId="17" fillId="0" borderId="0" xfId="0" applyFont="1" applyAlignment="1">
      <alignment horizontal="center" vertical="center"/>
    </xf>
    <xf numFmtId="0" fontId="17" fillId="0" borderId="0" xfId="0" applyFont="1" applyFill="1" applyAlignment="1" applyProtection="1">
      <alignment horizontal="left" vertical="center"/>
      <protection locked="0"/>
    </xf>
    <xf numFmtId="164" fontId="1" fillId="0" borderId="0" xfId="2" applyNumberFormat="1" applyFont="1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1" fillId="0" borderId="53" xfId="0" applyFont="1" applyBorder="1" applyAlignment="1">
      <alignment horizontal="right" vertical="center"/>
    </xf>
    <xf numFmtId="0" fontId="1" fillId="0" borderId="53" xfId="0" applyFont="1" applyBorder="1" applyAlignment="1">
      <alignment horizontal="left" vertical="center"/>
    </xf>
    <xf numFmtId="164" fontId="12" fillId="0" borderId="0" xfId="2" applyNumberFormat="1" applyFont="1" applyBorder="1" applyAlignment="1">
      <alignment horizontal="left"/>
    </xf>
    <xf numFmtId="0" fontId="14" fillId="7" borderId="0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/>
    </xf>
    <xf numFmtId="164" fontId="1" fillId="11" borderId="15" xfId="2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4" fillId="5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164" fontId="0" fillId="0" borderId="0" xfId="0" applyNumberFormat="1" applyBorder="1" applyAlignment="1">
      <alignment horizontal="center"/>
    </xf>
    <xf numFmtId="0" fontId="7" fillId="0" borderId="15" xfId="0" applyFont="1" applyBorder="1" applyAlignment="1">
      <alignment horizontal="center"/>
    </xf>
    <xf numFmtId="164" fontId="12" fillId="0" borderId="14" xfId="2" applyNumberFormat="1" applyFont="1" applyBorder="1" applyAlignment="1">
      <alignment horizontal="left"/>
    </xf>
    <xf numFmtId="164" fontId="1" fillId="0" borderId="14" xfId="2" applyNumberFormat="1" applyFont="1" applyBorder="1" applyAlignment="1">
      <alignment horizontal="center"/>
    </xf>
    <xf numFmtId="0" fontId="14" fillId="11" borderId="15" xfId="0" applyFont="1" applyFill="1" applyBorder="1" applyAlignment="1">
      <alignment vertical="center"/>
    </xf>
    <xf numFmtId="0" fontId="0" fillId="11" borderId="15" xfId="0" applyFill="1" applyBorder="1" applyAlignment="1"/>
    <xf numFmtId="0" fontId="11" fillId="0" borderId="54" xfId="1" applyNumberFormat="1" applyFont="1" applyBorder="1" applyAlignment="1">
      <alignment horizontal="center" wrapText="1"/>
    </xf>
    <xf numFmtId="0" fontId="13" fillId="0" borderId="40" xfId="1" applyFont="1" applyBorder="1" applyAlignment="1">
      <alignment horizontal="center" wrapText="1"/>
    </xf>
    <xf numFmtId="0" fontId="13" fillId="0" borderId="39" xfId="1" applyFont="1" applyBorder="1" applyAlignment="1">
      <alignment horizontal="center" wrapText="1"/>
    </xf>
    <xf numFmtId="0" fontId="14" fillId="8" borderId="0" xfId="0" applyFont="1" applyFill="1" applyAlignment="1">
      <alignment horizontal="right" vertical="center"/>
    </xf>
    <xf numFmtId="0" fontId="7" fillId="9" borderId="0" xfId="0" applyFont="1" applyFill="1" applyAlignment="1" applyProtection="1">
      <alignment horizontal="right" vertical="center"/>
      <protection locked="0"/>
    </xf>
    <xf numFmtId="0" fontId="14" fillId="8" borderId="0" xfId="0" applyFont="1" applyFill="1" applyAlignment="1">
      <alignment horizontal="center"/>
    </xf>
    <xf numFmtId="0" fontId="1" fillId="8" borderId="0" xfId="0" applyFont="1" applyFill="1" applyAlignment="1">
      <alignment horizontal="left" vertical="center"/>
    </xf>
    <xf numFmtId="0" fontId="8" fillId="18" borderId="0" xfId="0" applyFont="1" applyFill="1" applyAlignment="1" applyProtection="1">
      <protection locked="0"/>
    </xf>
    <xf numFmtId="0" fontId="13" fillId="4" borderId="0" xfId="0" applyFont="1" applyFill="1" applyAlignment="1">
      <alignment horizontal="left"/>
    </xf>
    <xf numFmtId="164" fontId="1" fillId="0" borderId="0" xfId="2" applyNumberFormat="1" applyFont="1" applyAlignment="1">
      <alignment horizontal="center"/>
    </xf>
    <xf numFmtId="164" fontId="1" fillId="30" borderId="0" xfId="2" applyNumberFormat="1" applyFont="1" applyFill="1" applyAlignment="1">
      <alignment horizontal="center"/>
    </xf>
    <xf numFmtId="0" fontId="20" fillId="0" borderId="67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20" fillId="0" borderId="71" xfId="0" applyFont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20" fillId="0" borderId="72" xfId="0" applyFont="1" applyBorder="1" applyAlignment="1">
      <alignment horizontal="center" vertical="center"/>
    </xf>
    <xf numFmtId="0" fontId="20" fillId="0" borderId="78" xfId="0" applyFont="1" applyBorder="1" applyAlignment="1">
      <alignment horizontal="center" vertical="center"/>
    </xf>
    <xf numFmtId="0" fontId="20" fillId="0" borderId="79" xfId="0" applyFont="1" applyBorder="1" applyAlignment="1">
      <alignment horizontal="center" vertical="center"/>
    </xf>
    <xf numFmtId="0" fontId="0" fillId="0" borderId="15" xfId="0" applyBorder="1"/>
    <xf numFmtId="0" fontId="0" fillId="0" borderId="0" xfId="0"/>
    <xf numFmtId="164" fontId="1" fillId="0" borderId="14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164" fontId="1" fillId="0" borderId="116" xfId="0" applyNumberFormat="1" applyFont="1" applyFill="1" applyBorder="1" applyAlignment="1" applyProtection="1">
      <protection locked="0"/>
    </xf>
    <xf numFmtId="164" fontId="1" fillId="0" borderId="117" xfId="0" applyNumberFormat="1" applyFont="1" applyFill="1" applyBorder="1" applyAlignment="1" applyProtection="1">
      <protection locked="0"/>
    </xf>
    <xf numFmtId="164" fontId="1" fillId="0" borderId="118" xfId="0" applyNumberFormat="1" applyFont="1" applyFill="1" applyBorder="1" applyAlignment="1" applyProtection="1">
      <protection locked="0"/>
    </xf>
    <xf numFmtId="0" fontId="17" fillId="0" borderId="0" xfId="0" applyFont="1" applyAlignment="1">
      <alignment vertical="center"/>
    </xf>
    <xf numFmtId="0" fontId="17" fillId="0" borderId="0" xfId="0" applyFont="1" applyFill="1" applyAlignment="1" applyProtection="1">
      <alignment vertical="center"/>
      <protection locked="0"/>
    </xf>
    <xf numFmtId="0" fontId="20" fillId="0" borderId="0" xfId="0" applyFont="1" applyFill="1" applyAlignment="1" applyProtection="1">
      <alignment horizontal="left" vertical="top"/>
      <protection locked="0"/>
    </xf>
    <xf numFmtId="0" fontId="17" fillId="0" borderId="0" xfId="0" applyFont="1" applyAlignment="1">
      <alignment horizontal="left" vertical="top"/>
    </xf>
    <xf numFmtId="0" fontId="17" fillId="0" borderId="0" xfId="0" applyFont="1" applyFill="1" applyAlignment="1" applyProtection="1">
      <alignment horizontal="left" vertical="top"/>
      <protection locked="0"/>
    </xf>
    <xf numFmtId="0" fontId="14" fillId="0" borderId="0" xfId="0" applyFont="1" applyBorder="1" applyAlignment="1">
      <alignment vertical="center"/>
    </xf>
    <xf numFmtId="0" fontId="11" fillId="0" borderId="0" xfId="0" applyFont="1" applyFill="1" applyAlignment="1">
      <alignment horizontal="right"/>
    </xf>
    <xf numFmtId="0" fontId="18" fillId="0" borderId="0" xfId="3" applyFont="1" applyBorder="1" applyAlignment="1">
      <alignment horizontal="center"/>
    </xf>
    <xf numFmtId="0" fontId="17" fillId="0" borderId="0" xfId="0" applyFont="1" applyBorder="1" applyAlignment="1">
      <alignment horizontal="center" vertical="center"/>
    </xf>
  </cellXfs>
  <cellStyles count="8">
    <cellStyle name="Comma" xfId="6" builtinId="3"/>
    <cellStyle name="Normal" xfId="0" builtinId="0"/>
    <cellStyle name="Normal 2" xfId="1" xr:uid="{00000000-0005-0000-0000-000001000000}"/>
    <cellStyle name="Normal 3" xfId="7" xr:uid="{0B7A5F77-694D-43D1-9435-3418F30F17C3}"/>
    <cellStyle name="Normal_EARTHCOL" xfId="2" xr:uid="{00000000-0005-0000-0000-000002000000}"/>
    <cellStyle name="Normal_THAEUSS" xfId="3" xr:uid="{00000000-0005-0000-0000-000003000000}"/>
    <cellStyle name="Normal_T-RNKG1" xfId="4" xr:uid="{00000000-0005-0000-0000-000004000000}"/>
    <cellStyle name="Normal_T-WEAPON" xfId="5" xr:uid="{00000000-0005-0000-0000-000005000000}"/>
  </cellStyles>
  <dxfs count="14"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ill>
        <patternFill>
          <bgColor indexed="41"/>
        </patternFill>
      </fill>
    </dxf>
    <dxf>
      <fill>
        <patternFill>
          <bgColor indexed="26"/>
        </patternFill>
      </fill>
    </dxf>
    <dxf>
      <fill>
        <patternFill>
          <bgColor indexed="42"/>
        </patternFill>
      </fill>
    </dxf>
    <dxf>
      <font>
        <color rgb="FFFFFF00"/>
      </font>
      <fill>
        <patternFill>
          <bgColor rgb="FF00B05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ill>
        <patternFill>
          <bgColor indexed="41"/>
        </patternFill>
      </fill>
    </dxf>
    <dxf>
      <fill>
        <patternFill>
          <bgColor indexed="26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AEAEA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102</xdr:row>
          <xdr:rowOff>9525</xdr:rowOff>
        </xdr:from>
        <xdr:to>
          <xdr:col>17</xdr:col>
          <xdr:colOff>180975</xdr:colOff>
          <xdr:row>164</xdr:row>
          <xdr:rowOff>123825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77481D62-BEFA-48A5-85AB-DAA49979B0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Names!$G$1:$U$71" spid="_x0000_s119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15659100"/>
              <a:ext cx="6496050" cy="101536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02"/>
  <sheetViews>
    <sheetView workbookViewId="0">
      <selection activeCell="M15" sqref="M15"/>
    </sheetView>
  </sheetViews>
  <sheetFormatPr defaultColWidth="9.140625" defaultRowHeight="12.75" x14ac:dyDescent="0.2"/>
  <cols>
    <col min="1" max="1" width="23.7109375" style="5" customWidth="1"/>
    <col min="2" max="11" width="6.7109375" style="5" customWidth="1"/>
    <col min="12" max="12" width="8.42578125" style="5" customWidth="1"/>
    <col min="13" max="15" width="9.140625" style="5"/>
    <col min="16" max="18" width="15.7109375" style="5" customWidth="1"/>
    <col min="19" max="16384" width="9.140625" style="5"/>
  </cols>
  <sheetData>
    <row r="1" spans="1:19" ht="15.75" x14ac:dyDescent="0.2">
      <c r="A1" s="100" t="str">
        <f>Setup!$B$2</f>
        <v>Character's name</v>
      </c>
      <c r="B1" s="785" t="str">
        <f>IF(Setup!$B$4&gt;"",Setup!$B$4,"Non-mage")</f>
        <v>Non-mage</v>
      </c>
      <c r="C1" s="785"/>
      <c r="D1" s="785"/>
      <c r="E1" s="785"/>
      <c r="F1" s="787" t="str">
        <f>"Social: "&amp;Setup!$B$10&amp;".  "&amp;Setup!$B$11</f>
        <v>Social: Adventurer.  5th</v>
      </c>
      <c r="G1" s="787"/>
      <c r="H1" s="787"/>
      <c r="I1" s="787"/>
      <c r="J1" s="787"/>
      <c r="K1" s="787"/>
      <c r="L1" s="787"/>
      <c r="N1" s="62" t="s">
        <v>1179</v>
      </c>
      <c r="O1" s="62"/>
      <c r="P1" s="62"/>
      <c r="Q1" s="200" t="s">
        <v>1510</v>
      </c>
      <c r="R1" s="202"/>
      <c r="S1" s="202"/>
    </row>
    <row r="2" spans="1:19" s="62" customFormat="1" ht="14.25" x14ac:dyDescent="0.2">
      <c r="A2" s="784" t="str">
        <f>Setup!$B$5&amp;" "&amp;Setup!$B$3&amp;", "&amp;Setup!$B$7&amp;", "&amp;Setup!$B$8&amp;", PB "&amp;Stats!K3</f>
        <v>Male Human, 5' 9", 150 lbs, PB 15</v>
      </c>
      <c r="B2" s="784"/>
      <c r="C2" s="784"/>
      <c r="D2" s="784"/>
      <c r="E2" s="47" t="s">
        <v>273</v>
      </c>
      <c r="F2" s="789">
        <f>Setup!$B$9</f>
        <v>0</v>
      </c>
      <c r="G2" s="789"/>
      <c r="H2" s="789"/>
      <c r="I2" s="789"/>
      <c r="J2" s="788" t="s">
        <v>271</v>
      </c>
      <c r="K2" s="788"/>
      <c r="L2" s="46" t="str">
        <f>Setup!B6</f>
        <v>Right</v>
      </c>
      <c r="N2" s="284" t="str">
        <f>Combat!$A$1</f>
        <v>FT Dam</v>
      </c>
      <c r="O2" s="284" t="str">
        <f>Combat!$A$2</f>
        <v>EN Dam</v>
      </c>
      <c r="P2" s="284" t="s">
        <v>1180</v>
      </c>
      <c r="Q2" s="538" t="str">
        <f>Bonuses!$U$3&amp;"% "&amp;Bonuses!$U$2</f>
        <v>0% Magic Resistance vs Demonics</v>
      </c>
      <c r="R2" s="202"/>
      <c r="S2" s="559"/>
    </row>
    <row r="3" spans="1:19" s="62" customFormat="1" ht="15" x14ac:dyDescent="0.25">
      <c r="A3" s="794" t="str">
        <f>""&amp;IF((Bonuses!V3+Bonuses!AP3)&lt;&gt;0,"
Magic DR "&amp;Bonuses!V3+Bonuses!AP3,"")&amp;IF(Bonuses!BK3&lt;&gt;0,"
Necrogeny "&amp;Bonuses!BK3,"")&amp;IF(Bonuses!BL3&lt;&gt;0,"
Reactions +"&amp;Bonuses!BL3&amp;"%","")</f>
        <v/>
      </c>
      <c r="B3" s="61"/>
      <c r="C3" s="98" t="str">
        <f>Stats!B1</f>
        <v>PS</v>
      </c>
      <c r="D3" s="98" t="str">
        <f>Stats!C1</f>
        <v>MD</v>
      </c>
      <c r="E3" s="98" t="str">
        <f>Stats!D1</f>
        <v>AG</v>
      </c>
      <c r="F3" s="98" t="str">
        <f>Stats!E1</f>
        <v>MA</v>
      </c>
      <c r="G3" s="98" t="str">
        <f>Stats!F1</f>
        <v>WP</v>
      </c>
      <c r="H3" s="98" t="str">
        <f>Stats!G1</f>
        <v>EN</v>
      </c>
      <c r="I3" s="98" t="str">
        <f>Stats!H1</f>
        <v>FT</v>
      </c>
      <c r="J3" s="98" t="str">
        <f>Stats!I1</f>
        <v>PC</v>
      </c>
      <c r="K3" s="748" t="str">
        <f>Stats!J1</f>
        <v>TMR</v>
      </c>
      <c r="L3" s="748" t="str">
        <f>Stats!K1</f>
        <v>PB</v>
      </c>
      <c r="N3" s="744">
        <f>'Attack Rolls'!C25+'Attack Rolls'!D25+'Attack Rolls'!G25</f>
        <v>0</v>
      </c>
      <c r="O3" s="744">
        <f>'Attack Rolls'!E25+'Attack Rolls'!F25+'Attack Rolls'!H25</f>
        <v>0</v>
      </c>
      <c r="P3" s="43" t="str">
        <f>Combat!$C$1&amp;Combat!$C$2</f>
        <v/>
      </c>
      <c r="Q3" s="560" t="str">
        <f>Bonuses!$BL$3&amp;"% to "&amp;Bonuses!$BL$2</f>
        <v>0% to Reaction Checks</v>
      </c>
      <c r="R3" s="202"/>
      <c r="S3" s="559"/>
    </row>
    <row r="4" spans="1:19" s="62" customFormat="1" ht="15" x14ac:dyDescent="0.2">
      <c r="A4" s="795"/>
      <c r="B4" s="60"/>
      <c r="C4" s="99">
        <f>Stats!B3</f>
        <v>15</v>
      </c>
      <c r="D4" s="99">
        <f>Stats!C3</f>
        <v>13</v>
      </c>
      <c r="E4" s="99">
        <f>Stats!D3</f>
        <v>11</v>
      </c>
      <c r="F4" s="99">
        <f>Stats!E3</f>
        <v>15</v>
      </c>
      <c r="G4" s="99">
        <f>Stats!F3</f>
        <v>15</v>
      </c>
      <c r="H4" s="99">
        <f>Stats!G3</f>
        <v>15</v>
      </c>
      <c r="I4" s="99">
        <f>Stats!H3</f>
        <v>20</v>
      </c>
      <c r="J4" s="99">
        <f>Stats!I3</f>
        <v>5</v>
      </c>
      <c r="K4" s="99">
        <f ca="1">Stats!J3</f>
        <v>4</v>
      </c>
      <c r="L4" s="99">
        <f>Stats!K3</f>
        <v>15</v>
      </c>
      <c r="N4" s="200" t="s">
        <v>1509</v>
      </c>
      <c r="O4" s="559"/>
      <c r="P4" s="559"/>
      <c r="Q4" s="561" t="str">
        <f>Bonuses!$BH$3&amp;"% to "&amp;Bonuses!$BH$2</f>
        <v>0% to Infection Chance</v>
      </c>
      <c r="R4" s="202"/>
      <c r="S4" s="559"/>
    </row>
    <row r="5" spans="1:19" ht="14.25" x14ac:dyDescent="0.2">
      <c r="A5" s="795"/>
      <c r="B5" s="56" t="str">
        <f>Stats!A4</f>
        <v>1x</v>
      </c>
      <c r="C5" s="57">
        <f>Stats!B4</f>
        <v>15</v>
      </c>
      <c r="D5" s="57">
        <f>Stats!C4</f>
        <v>13</v>
      </c>
      <c r="E5" s="57">
        <f>Stats!D4</f>
        <v>11</v>
      </c>
      <c r="F5" s="57">
        <f>Stats!E4</f>
        <v>15</v>
      </c>
      <c r="G5" s="57">
        <f>Stats!F4</f>
        <v>15</v>
      </c>
      <c r="H5" s="57">
        <f>Stats!G4</f>
        <v>15</v>
      </c>
      <c r="I5" s="58"/>
      <c r="J5" s="57">
        <f>Stats!I4</f>
        <v>5</v>
      </c>
      <c r="L5" s="31" t="s">
        <v>128</v>
      </c>
      <c r="N5" s="562" t="str">
        <f>Bonuses!$AN$3&amp;" "&amp;Bonuses!$AN$2</f>
        <v>5 Armour Protection vs Fatigue dmg</v>
      </c>
      <c r="O5" s="202"/>
      <c r="P5" s="202"/>
      <c r="Q5" s="561" t="str">
        <f>Bonuses!$BF$3&amp;" "&amp;Bonuses!$BF$2</f>
        <v>0 Bleeding dmg/pulse Mod</v>
      </c>
      <c r="R5" s="202"/>
      <c r="S5" s="559"/>
    </row>
    <row r="6" spans="1:19" ht="14.25" x14ac:dyDescent="0.2">
      <c r="A6" s="795"/>
      <c r="B6" s="59" t="str">
        <f>Stats!A5</f>
        <v>2x</v>
      </c>
      <c r="C6" s="31">
        <f>Stats!B5</f>
        <v>30</v>
      </c>
      <c r="D6" s="31">
        <f>Stats!C5</f>
        <v>26</v>
      </c>
      <c r="E6" s="31">
        <f>Stats!D5</f>
        <v>22</v>
      </c>
      <c r="F6" s="31">
        <f>Stats!E5</f>
        <v>30</v>
      </c>
      <c r="G6" s="31">
        <f>Stats!F5</f>
        <v>30</v>
      </c>
      <c r="H6" s="31">
        <f>Stats!G5</f>
        <v>30</v>
      </c>
      <c r="I6" s="58"/>
      <c r="J6" s="31">
        <f>Stats!I5</f>
        <v>10</v>
      </c>
      <c r="L6" s="31" t="s">
        <v>279</v>
      </c>
      <c r="N6" s="562" t="str">
        <f>Bonuses!$AO$3&amp;" "&amp;Bonuses!$AO$2</f>
        <v>0 Armour Protection vs Endurance dmg</v>
      </c>
      <c r="O6" s="202"/>
      <c r="P6" s="202"/>
      <c r="Q6" s="561" t="str">
        <f>Bonuses!$BG$3&amp;" "&amp;Bonuses!$BG$2</f>
        <v>0 Poison dmg/pulse Mod</v>
      </c>
      <c r="R6" s="202"/>
      <c r="S6" s="559"/>
    </row>
    <row r="7" spans="1:19" x14ac:dyDescent="0.2">
      <c r="A7" s="795"/>
      <c r="B7" s="56" t="str">
        <f>Stats!A6</f>
        <v>3x</v>
      </c>
      <c r="C7" s="57">
        <f>Stats!B6</f>
        <v>45</v>
      </c>
      <c r="D7" s="57">
        <f>Stats!C6</f>
        <v>39</v>
      </c>
      <c r="E7" s="57">
        <f>Stats!D6</f>
        <v>33</v>
      </c>
      <c r="F7" s="57">
        <f>Stats!E6</f>
        <v>45</v>
      </c>
      <c r="G7" s="57">
        <f>Stats!F6</f>
        <v>45</v>
      </c>
      <c r="H7" s="57">
        <f>Stats!G6</f>
        <v>45</v>
      </c>
      <c r="I7" s="58"/>
      <c r="J7" s="57">
        <f>Stats!I6</f>
        <v>15</v>
      </c>
      <c r="L7" s="3" t="str">
        <f>ROUND(Bonuses!$C$3,1)&amp;" lbs"</f>
        <v>25 lbs</v>
      </c>
      <c r="N7" s="562" t="str">
        <f>Bonuses!$AQ$3&amp;" "&amp;Bonuses!$AQ$2</f>
        <v>0 Damage Reduction vs Physical</v>
      </c>
      <c r="O7" s="202"/>
      <c r="P7" s="202"/>
      <c r="Q7" s="561"/>
      <c r="R7" s="202"/>
      <c r="S7" s="202"/>
    </row>
    <row r="8" spans="1:19" x14ac:dyDescent="0.2">
      <c r="A8" s="795"/>
      <c r="B8" s="59" t="str">
        <f>Stats!A7</f>
        <v>4x</v>
      </c>
      <c r="C8" s="31">
        <f>Stats!B7</f>
        <v>60</v>
      </c>
      <c r="D8" s="31">
        <f>Stats!C7</f>
        <v>52</v>
      </c>
      <c r="E8" s="31">
        <f>Stats!D7</f>
        <v>44</v>
      </c>
      <c r="F8" s="31">
        <f>Stats!E7</f>
        <v>60</v>
      </c>
      <c r="G8" s="31">
        <f>Stats!F7</f>
        <v>60</v>
      </c>
      <c r="H8" s="31">
        <f>Stats!G7</f>
        <v>60</v>
      </c>
      <c r="I8" s="58"/>
      <c r="J8" s="31">
        <f>Stats!I7</f>
        <v>20</v>
      </c>
      <c r="K8" s="64" t="str">
        <f>IF(ISERROR(Combat!$L$1*1),"",Combat!$K$1)</f>
        <v/>
      </c>
      <c r="L8" s="63" t="str">
        <f>IF(ISERROR(Combat!$L$1*1),"",Combat!$L$1)</f>
        <v/>
      </c>
      <c r="N8" s="562" t="str">
        <f>Bonuses!$AP$3&amp;" "&amp;Bonuses!$AP$2</f>
        <v>0 Damage Reduction vs All</v>
      </c>
      <c r="O8" s="202"/>
      <c r="P8" s="202"/>
      <c r="Q8" s="202"/>
      <c r="R8" s="202"/>
      <c r="S8" s="202"/>
    </row>
    <row r="9" spans="1:19" x14ac:dyDescent="0.2">
      <c r="A9" s="796"/>
      <c r="B9" s="56" t="str">
        <f>Stats!A8</f>
        <v>5x</v>
      </c>
      <c r="C9" s="57">
        <f>Stats!B8</f>
        <v>75</v>
      </c>
      <c r="D9" s="57">
        <f>Stats!C8</f>
        <v>65</v>
      </c>
      <c r="E9" s="57">
        <f>Stats!D8</f>
        <v>55</v>
      </c>
      <c r="F9" s="57">
        <f>Stats!E8</f>
        <v>75</v>
      </c>
      <c r="G9" s="57">
        <f>Stats!F8</f>
        <v>75</v>
      </c>
      <c r="H9" s="57">
        <f>Stats!G8</f>
        <v>75</v>
      </c>
      <c r="I9" s="58"/>
      <c r="J9" s="57">
        <f>Stats!I8</f>
        <v>25</v>
      </c>
      <c r="K9" s="66" t="str">
        <f>IF(ISERROR(Combat!$L$2*1),"",Combat!$K$2)</f>
        <v/>
      </c>
      <c r="L9" s="43" t="str">
        <f>IF(ISERROR(Combat!$L$2*1),"",Combat!$L$2)</f>
        <v/>
      </c>
      <c r="N9" s="562" t="str">
        <f>Bonuses!$V$3&amp;" "&amp;Bonuses!$V$2</f>
        <v>0 Damage Reduction vs Magic</v>
      </c>
      <c r="O9" s="202"/>
      <c r="P9" s="202"/>
      <c r="Q9" s="561" t="str">
        <f>Bonuses!$BI$3&amp;"% "&amp;Bonuses!$BI$2</f>
        <v>0% Fear Resistance Rolls</v>
      </c>
      <c r="R9" s="202"/>
      <c r="S9" s="202"/>
    </row>
    <row r="10" spans="1:19" x14ac:dyDescent="0.2">
      <c r="A10" s="285" t="s">
        <v>1181</v>
      </c>
      <c r="B10" s="214" t="str">
        <f>Combat!$I$1</f>
        <v>35</v>
      </c>
      <c r="C10" s="287" t="str">
        <f>IF(Bonuses!U3&lt;&gt;0,"+"&amp;Bonuses!U3&amp;" v Dem.","")</f>
        <v/>
      </c>
      <c r="D10" s="63"/>
      <c r="E10" s="285" t="str">
        <f>Combat!$E$2</f>
        <v>Dmg to Stun:</v>
      </c>
      <c r="F10" s="63">
        <f>Combat!$G$2</f>
        <v>6</v>
      </c>
      <c r="G10" s="63"/>
      <c r="H10" s="285" t="str">
        <f>Combat!$E$1</f>
        <v>Stun Rec %</v>
      </c>
      <c r="I10" s="63">
        <f>Combat!$G$1</f>
        <v>50</v>
      </c>
      <c r="J10" s="63"/>
      <c r="K10" s="285" t="s">
        <v>1975</v>
      </c>
      <c r="L10" s="63" t="str">
        <f>"+"&amp;Combat!W1</f>
        <v>+0</v>
      </c>
      <c r="N10" s="562" t="str">
        <f>Bonuses!$BK$3&amp;" "&amp;Bonuses!$BK$2</f>
        <v>0 Necrogeny</v>
      </c>
      <c r="O10" s="202"/>
      <c r="P10" s="202"/>
      <c r="Q10" s="561" t="str">
        <f>Bonuses!$BJ$3&amp;"% "&amp;Bonuses!$BJ$2</f>
        <v>0% Fear Table Roll</v>
      </c>
      <c r="R10" s="202"/>
      <c r="S10" s="202"/>
    </row>
    <row r="11" spans="1:19" x14ac:dyDescent="0.2">
      <c r="A11" s="286" t="str">
        <f>Combat!$A$5</f>
        <v>Armour (AP) Ft/En</v>
      </c>
      <c r="B11" s="194" t="str">
        <f>Combat!$B$5</f>
        <v>5 / 0</v>
      </c>
      <c r="C11" s="43"/>
      <c r="D11" s="43"/>
      <c r="E11" s="286" t="str">
        <f>Combat!$E$3</f>
        <v>Dmg to -1:</v>
      </c>
      <c r="F11" s="43">
        <f>Combat!$G$3</f>
        <v>35</v>
      </c>
      <c r="G11" s="43"/>
      <c r="H11" s="286" t="str">
        <f>Combat!H2</f>
        <v>Die At</v>
      </c>
      <c r="I11" s="43">
        <f>Combat!$I$2</f>
        <v>-8</v>
      </c>
      <c r="J11" s="43"/>
      <c r="K11" s="66"/>
      <c r="L11" s="43"/>
      <c r="N11" s="561" t="str">
        <f>Bonuses!$W$3&amp;" "&amp;Bonuses!$W$2</f>
        <v>0 Damage Reduction vs Elemental</v>
      </c>
      <c r="O11" s="202"/>
      <c r="P11" s="202"/>
      <c r="Q11" s="202"/>
      <c r="R11" s="202"/>
      <c r="S11" s="202"/>
    </row>
    <row r="12" spans="1:19" x14ac:dyDescent="0.2">
      <c r="A12" s="286" t="str">
        <f>Combat!$A$3</f>
        <v>Unengaged IV</v>
      </c>
      <c r="B12" s="798" t="str">
        <f>Combat!$B$3</f>
        <v>5 + D10</v>
      </c>
      <c r="C12" s="798"/>
      <c r="D12" s="798"/>
      <c r="E12" s="286" t="str">
        <f>Combat!$H$3</f>
        <v>.. to kill</v>
      </c>
      <c r="F12" s="43">
        <f>Combat!$I$3</f>
        <v>43</v>
      </c>
      <c r="G12" s="43"/>
      <c r="H12" s="286"/>
      <c r="I12" s="43"/>
      <c r="J12" s="67" t="str">
        <f>Combat!J3</f>
        <v>(Shield)</v>
      </c>
      <c r="K12" s="67" t="str">
        <f>Combat!K3</f>
        <v>(Evade)</v>
      </c>
      <c r="L12" s="43"/>
      <c r="N12" s="561" t="str">
        <f>Bonuses!$X$3&amp;" "&amp;Bonuses!$X$2</f>
        <v>0 Damage Reduction vs Cold/Ice</v>
      </c>
      <c r="O12" s="202"/>
      <c r="P12" s="202"/>
      <c r="Q12" s="561" t="str">
        <f>Bonuses!$AA$3+(Bonuses!$Z$3*5)&amp;"°C Cold Protection ("&amp;Bonuses!$AA$3&amp;"°C &amp; "&amp;Bonuses!$Z$3&amp;" Gauges)"</f>
        <v>0°C Cold Protection (0°C &amp; 0 Gauges)</v>
      </c>
      <c r="R12" s="202"/>
      <c r="S12" s="202"/>
    </row>
    <row r="13" spans="1:19" x14ac:dyDescent="0.2">
      <c r="A13" s="65" t="str">
        <f>Combat!A4</f>
        <v>Defence</v>
      </c>
      <c r="B13" s="159">
        <f>Combat!B4</f>
        <v>11</v>
      </c>
      <c r="C13" s="160"/>
      <c r="D13" s="161">
        <f>Combat!D4</f>
        <v>11</v>
      </c>
      <c r="E13" s="161">
        <f ca="1">Combat!E4</f>
        <v>11</v>
      </c>
      <c r="F13" s="162" t="str">
        <f ca="1">Combat!$F$4</f>
        <v>+10-10</v>
      </c>
      <c r="G13" s="193">
        <f>Combat!G4</f>
        <v>11</v>
      </c>
      <c r="H13" s="163"/>
      <c r="I13" s="164">
        <f>Combat!I4</f>
        <v>11</v>
      </c>
      <c r="J13" s="164">
        <f ca="1">Combat!J4</f>
        <v>11</v>
      </c>
      <c r="K13" s="165" t="str">
        <f>Combat!K4</f>
        <v>+20</v>
      </c>
      <c r="L13" s="43"/>
      <c r="N13" s="561" t="str">
        <f>Bonuses!$Y$3&amp;" "&amp;Bonuses!$Y$2</f>
        <v>0 Damage Reduction vs Fire/Heat</v>
      </c>
      <c r="O13" s="202"/>
      <c r="P13" s="202"/>
      <c r="Q13" s="561" t="str">
        <f>Bonuses!$AC$3+(Bonuses!$AB$3*5)&amp;"°C Heat Protection ("&amp;Bonuses!$AC$3&amp;"°C &amp; "&amp;Bonuses!$AB$3&amp;" Gauges)"</f>
        <v>0°C Heat Protection (0°C &amp; 0 Gauges)</v>
      </c>
      <c r="R13" s="202"/>
      <c r="S13" s="202"/>
    </row>
    <row r="14" spans="1:19" x14ac:dyDescent="0.2">
      <c r="A14" s="65"/>
      <c r="B14" s="191"/>
      <c r="C14" s="791" t="str">
        <f>Combat!C5</f>
        <v>Melee</v>
      </c>
      <c r="D14" s="791"/>
      <c r="E14" s="69" t="str">
        <f>Combat!E5</f>
        <v>(Shield)</v>
      </c>
      <c r="F14" s="69" t="str">
        <f>Combat!F5</f>
        <v>(Evade)</v>
      </c>
      <c r="G14" s="792" t="str">
        <f>Combat!G5</f>
        <v>Close</v>
      </c>
      <c r="H14" s="792"/>
      <c r="I14" s="797" t="str">
        <f>Combat!I5</f>
        <v>Ranged</v>
      </c>
      <c r="J14" s="797"/>
      <c r="K14" s="797"/>
      <c r="L14" s="199"/>
      <c r="N14" s="563"/>
      <c r="O14" s="202"/>
      <c r="P14" s="202"/>
      <c r="Q14" s="202"/>
      <c r="R14" s="202"/>
      <c r="S14" s="202"/>
    </row>
    <row r="15" spans="1:19" x14ac:dyDescent="0.2">
      <c r="A15" s="200" t="str">
        <f>Combat!A6</f>
        <v>Weapon</v>
      </c>
      <c r="B15" s="70" t="str">
        <f>Combat!B6</f>
        <v>Rk</v>
      </c>
      <c r="C15" s="70" t="str">
        <f>Combat!C6</f>
        <v>IV</v>
      </c>
      <c r="D15" s="70" t="str">
        <f>Combat!D6</f>
        <v>SC%</v>
      </c>
      <c r="E15" s="70" t="str">
        <f>Combat!E6</f>
        <v>Dam</v>
      </c>
      <c r="F15" s="70" t="str">
        <f>Combat!F6</f>
        <v>Class</v>
      </c>
      <c r="G15" s="70" t="str">
        <f>Combat!G6</f>
        <v>IV</v>
      </c>
      <c r="H15" s="70" t="str">
        <f>Combat!H6</f>
        <v>SC</v>
      </c>
      <c r="I15" s="70" t="str">
        <f>Combat!I6</f>
        <v>Rng</v>
      </c>
      <c r="J15" s="70" t="str">
        <f>Combat!J6</f>
        <v>IV</v>
      </c>
      <c r="K15" s="70" t="str">
        <f>Combat!K6</f>
        <v>SC</v>
      </c>
      <c r="L15" s="70" t="str">
        <f>Combat!L6</f>
        <v>Evade+</v>
      </c>
      <c r="N15" s="202"/>
      <c r="O15" s="202"/>
      <c r="P15" s="202"/>
      <c r="Q15" s="222" t="s">
        <v>1976</v>
      </c>
      <c r="R15" s="3" t="str">
        <f>"+ "&amp;(IF(Stats!$G$3&gt;20,CEILING((Stats!$G$3-20)/20,0.5),0))</f>
        <v>+ 0</v>
      </c>
      <c r="S15" s="202"/>
    </row>
    <row r="16" spans="1:19" x14ac:dyDescent="0.2">
      <c r="A16" s="201" t="str">
        <f>Combat!A7</f>
        <v>Unarmed</v>
      </c>
      <c r="B16" s="43" t="str">
        <f ca="1">Combat!B7</f>
        <v>Un</v>
      </c>
      <c r="C16" s="71">
        <f ca="1">Combat!C7</f>
        <v>16</v>
      </c>
      <c r="D16" s="71">
        <f ca="1">Combat!D7</f>
        <v>22</v>
      </c>
      <c r="E16" s="43">
        <f ca="1">Combat!E7</f>
        <v>-4</v>
      </c>
      <c r="F16" s="43" t="str">
        <f ca="1">Combat!F7</f>
        <v>C</v>
      </c>
      <c r="G16" s="71">
        <f ca="1">Combat!G7</f>
        <v>16</v>
      </c>
      <c r="H16" s="71">
        <f ca="1">Combat!H7</f>
        <v>22</v>
      </c>
      <c r="I16" s="192" t="str">
        <f ca="1">Combat!I7</f>
        <v/>
      </c>
      <c r="J16" s="71" t="str">
        <f ca="1">Combat!J7</f>
        <v/>
      </c>
      <c r="K16" s="71" t="str">
        <f ca="1">Combat!K7</f>
        <v/>
      </c>
      <c r="L16" s="71">
        <f ca="1">Combat!L7</f>
        <v>10</v>
      </c>
      <c r="Q16" s="763" t="s">
        <v>1977</v>
      </c>
      <c r="R16" s="619">
        <f>(3+IF(Stats!$G$3&gt;20,CEILING((Stats!$G$3-20)/20,0.5),0))*IF(Bonuses!$A$118="Y",1.1,1)</f>
        <v>3</v>
      </c>
    </row>
    <row r="17" spans="1:18" x14ac:dyDescent="0.2">
      <c r="A17" s="201" t="str">
        <f ca="1">Combat!A8&amp;IF(Combat!Z8&gt;""," ("&amp;Combat!Z8&amp;")","")</f>
        <v>Small Round</v>
      </c>
      <c r="B17" s="43" t="str">
        <f ca="1">Combat!B8</f>
        <v>Un</v>
      </c>
      <c r="C17" s="71">
        <f ca="1">Combat!C8</f>
        <v>16</v>
      </c>
      <c r="D17" s="71">
        <f ca="1">Combat!D8</f>
        <v>40</v>
      </c>
      <c r="E17" s="43">
        <f ca="1">Combat!E8</f>
        <v>-1</v>
      </c>
      <c r="F17" s="43" t="str">
        <f ca="1">Combat!F8</f>
        <v>C</v>
      </c>
      <c r="G17" s="71" t="str">
        <f ca="1">Combat!G8</f>
        <v/>
      </c>
      <c r="H17" s="71" t="str">
        <f ca="1">Combat!H8</f>
        <v/>
      </c>
      <c r="I17" s="192" t="str">
        <f ca="1">Combat!I8</f>
        <v/>
      </c>
      <c r="J17" s="71" t="str">
        <f ca="1">Combat!J8</f>
        <v/>
      </c>
      <c r="K17" s="71" t="str">
        <f ca="1">Combat!K8</f>
        <v/>
      </c>
      <c r="L17" s="71">
        <f ca="1">Combat!L8</f>
        <v>10</v>
      </c>
      <c r="Q17" s="222" t="s">
        <v>1978</v>
      </c>
      <c r="R17" s="623">
        <f>I4/R16</f>
        <v>6.666666666666667</v>
      </c>
    </row>
    <row r="18" spans="1:18" x14ac:dyDescent="0.2">
      <c r="A18" s="201" t="str">
        <f ca="1">Combat!A9&amp;IF(Combat!Z9&gt;""," ("&amp;Combat!Z9&amp;")","")</f>
        <v>Battle Axe (1-2)</v>
      </c>
      <c r="B18" s="43" t="str">
        <f ca="1">Combat!B9</f>
        <v>Un</v>
      </c>
      <c r="C18" s="71">
        <f ca="1">Combat!C9</f>
        <v>16</v>
      </c>
      <c r="D18" s="71">
        <f ca="1">Combat!D9</f>
        <v>60</v>
      </c>
      <c r="E18" s="43">
        <f ca="1">Combat!E9</f>
        <v>4</v>
      </c>
      <c r="F18" s="43" t="str">
        <f ca="1">Combat!F9</f>
        <v>B</v>
      </c>
      <c r="G18" s="71" t="str">
        <f ca="1">Combat!G9</f>
        <v/>
      </c>
      <c r="H18" s="71" t="str">
        <f ca="1">Combat!H9</f>
        <v/>
      </c>
      <c r="I18" s="192" t="str">
        <f ca="1">Combat!I9</f>
        <v>6 hx</v>
      </c>
      <c r="J18" s="71">
        <f ca="1">Combat!J9</f>
        <v>16</v>
      </c>
      <c r="K18" s="71">
        <f ca="1">Combat!K9</f>
        <v>60</v>
      </c>
      <c r="L18" s="71">
        <f ca="1">Combat!L9</f>
        <v>10</v>
      </c>
      <c r="Q18" s="763"/>
      <c r="R18" s="3"/>
    </row>
    <row r="19" spans="1:18" x14ac:dyDescent="0.2">
      <c r="A19" s="201" t="str">
        <f ca="1">Combat!A10&amp;IF(Combat!Z10&gt;""," ("&amp;Combat!Z10&amp;")","")</f>
        <v>Falchion</v>
      </c>
      <c r="B19" s="43" t="str">
        <f ca="1">Combat!B10</f>
        <v>Un</v>
      </c>
      <c r="C19" s="71">
        <f ca="1">Combat!C10</f>
        <v>16</v>
      </c>
      <c r="D19" s="71">
        <f ca="1">Combat!D10</f>
        <v>50</v>
      </c>
      <c r="E19" s="43">
        <f ca="1">Combat!E10</f>
        <v>2</v>
      </c>
      <c r="F19" s="43" t="str">
        <f ca="1">Combat!F10</f>
        <v>B</v>
      </c>
      <c r="G19" s="71" t="str">
        <f ca="1">Combat!G10</f>
        <v/>
      </c>
      <c r="H19" s="71" t="str">
        <f ca="1">Combat!H10</f>
        <v/>
      </c>
      <c r="I19" s="192" t="str">
        <f ca="1">Combat!I10</f>
        <v/>
      </c>
      <c r="J19" s="71" t="str">
        <f ca="1">Combat!J10</f>
        <v/>
      </c>
      <c r="K19" s="71" t="str">
        <f ca="1">Combat!K10</f>
        <v/>
      </c>
      <c r="L19" s="71">
        <f ca="1">Combat!L10</f>
        <v>10</v>
      </c>
    </row>
    <row r="20" spans="1:18" x14ac:dyDescent="0.2">
      <c r="A20" s="201" t="str">
        <f ca="1">Combat!A11&amp;IF(Combat!Z11&gt;""," ("&amp;Combat!Z11&amp;")","")</f>
        <v>Dagger</v>
      </c>
      <c r="B20" s="43" t="str">
        <f ca="1">Combat!B11</f>
        <v>Un</v>
      </c>
      <c r="C20" s="71">
        <f ca="1">Combat!C11</f>
        <v>16</v>
      </c>
      <c r="D20" s="71">
        <f ca="1">Combat!D11</f>
        <v>40</v>
      </c>
      <c r="E20" s="43">
        <f ca="1">Combat!E11</f>
        <v>1</v>
      </c>
      <c r="F20" s="43" t="str">
        <f ca="1">Combat!F11</f>
        <v>A</v>
      </c>
      <c r="G20" s="71">
        <f ca="1">Combat!G11</f>
        <v>16</v>
      </c>
      <c r="H20" s="71">
        <f ca="1">Combat!H11</f>
        <v>40</v>
      </c>
      <c r="I20" s="192" t="str">
        <f ca="1">Combat!I11</f>
        <v>8 hx</v>
      </c>
      <c r="J20" s="71">
        <f ca="1">Combat!J11</f>
        <v>16</v>
      </c>
      <c r="K20" s="71">
        <f ca="1">Combat!K11</f>
        <v>40</v>
      </c>
      <c r="L20" s="71">
        <f ca="1">Combat!L11</f>
        <v>10</v>
      </c>
    </row>
    <row r="21" spans="1:18" x14ac:dyDescent="0.2">
      <c r="A21" s="201" t="str">
        <f ca="1">Combat!A12&amp;IF(Combat!Z12&gt;""," ("&amp;Combat!Z12&amp;")","")</f>
        <v>Tulwar</v>
      </c>
      <c r="B21" s="43" t="str">
        <f ca="1">Combat!B12</f>
        <v>Un</v>
      </c>
      <c r="C21" s="71">
        <f ca="1">Combat!C12</f>
        <v>16</v>
      </c>
      <c r="D21" s="71">
        <f ca="1">Combat!D12</f>
        <v>50</v>
      </c>
      <c r="E21" s="43">
        <f ca="1">Combat!E12</f>
        <v>4</v>
      </c>
      <c r="F21" s="43" t="str">
        <f ca="1">Combat!F12</f>
        <v>B</v>
      </c>
      <c r="G21" s="71" t="str">
        <f ca="1">Combat!G12</f>
        <v/>
      </c>
      <c r="H21" s="71" t="str">
        <f ca="1">Combat!H12</f>
        <v/>
      </c>
      <c r="I21" s="192" t="str">
        <f ca="1">Combat!I12</f>
        <v/>
      </c>
      <c r="J21" s="71" t="str">
        <f ca="1">Combat!J12</f>
        <v/>
      </c>
      <c r="K21" s="71" t="str">
        <f ca="1">Combat!K12</f>
        <v/>
      </c>
      <c r="L21" s="71">
        <f ca="1">Combat!L12</f>
        <v>10</v>
      </c>
    </row>
    <row r="22" spans="1:18" x14ac:dyDescent="0.2">
      <c r="A22" s="201" t="str">
        <f ca="1">Combat!A13&amp;IF(Combat!Z13&gt;""," ("&amp;Combat!Z13&amp;")","")</f>
        <v>Sabre</v>
      </c>
      <c r="B22" s="43" t="str">
        <f ca="1">Combat!B13</f>
        <v>Un</v>
      </c>
      <c r="C22" s="71">
        <f ca="1">Combat!C13</f>
        <v>16</v>
      </c>
      <c r="D22" s="71">
        <f ca="1">Combat!D13</f>
        <v>60</v>
      </c>
      <c r="E22" s="43">
        <f ca="1">Combat!E13</f>
        <v>3</v>
      </c>
      <c r="F22" s="43" t="str">
        <f ca="1">Combat!F13</f>
        <v>B</v>
      </c>
      <c r="G22" s="71" t="str">
        <f ca="1">Combat!G13</f>
        <v/>
      </c>
      <c r="H22" s="71" t="str">
        <f ca="1">Combat!H13</f>
        <v/>
      </c>
      <c r="I22" s="192" t="str">
        <f ca="1">Combat!I13</f>
        <v/>
      </c>
      <c r="J22" s="71" t="str">
        <f ca="1">Combat!J13</f>
        <v/>
      </c>
      <c r="K22" s="71" t="str">
        <f ca="1">Combat!K13</f>
        <v/>
      </c>
      <c r="L22" s="71">
        <f ca="1">Combat!L13</f>
        <v>10</v>
      </c>
    </row>
    <row r="23" spans="1:18" x14ac:dyDescent="0.2">
      <c r="A23" s="201" t="str">
        <f ca="1">Combat!A14&amp;IF(Combat!Z14&gt;""," ("&amp;Combat!Z14&amp;")","")</f>
        <v>Broadsword</v>
      </c>
      <c r="B23" s="43" t="str">
        <f ca="1">Combat!B14</f>
        <v>Un</v>
      </c>
      <c r="C23" s="71">
        <f ca="1">Combat!C14</f>
        <v>16</v>
      </c>
      <c r="D23" s="71">
        <f ca="1">Combat!D14</f>
        <v>55</v>
      </c>
      <c r="E23" s="43">
        <f ca="1">Combat!E14</f>
        <v>4</v>
      </c>
      <c r="F23" s="43" t="str">
        <f ca="1">Combat!F14</f>
        <v>B</v>
      </c>
      <c r="G23" s="71" t="str">
        <f ca="1">Combat!G14</f>
        <v/>
      </c>
      <c r="H23" s="71" t="str">
        <f ca="1">Combat!H14</f>
        <v/>
      </c>
      <c r="I23" s="192" t="str">
        <f ca="1">Combat!I14</f>
        <v/>
      </c>
      <c r="J23" s="71" t="str">
        <f ca="1">Combat!J14</f>
        <v/>
      </c>
      <c r="K23" s="71" t="str">
        <f ca="1">Combat!K14</f>
        <v/>
      </c>
      <c r="L23" s="71">
        <f ca="1">Combat!L14</f>
        <v>10</v>
      </c>
    </row>
    <row r="24" spans="1:18" x14ac:dyDescent="0.2">
      <c r="A24" s="201" t="str">
        <f ca="1">Combat!A15&amp;IF(Combat!Z15&gt;""," ("&amp;Combat!Z15&amp;")","")</f>
        <v>Estoc</v>
      </c>
      <c r="B24" s="43" t="str">
        <f ca="1">Combat!B15</f>
        <v>Un</v>
      </c>
      <c r="C24" s="71">
        <f ca="1">Combat!C15</f>
        <v>16</v>
      </c>
      <c r="D24" s="71">
        <f ca="1">Combat!D15</f>
        <v>45</v>
      </c>
      <c r="E24" s="43">
        <f ca="1">Combat!E15</f>
        <v>5</v>
      </c>
      <c r="F24" s="43" t="str">
        <f ca="1">Combat!F15</f>
        <v>A</v>
      </c>
      <c r="G24" s="71" t="str">
        <f ca="1">Combat!G15</f>
        <v/>
      </c>
      <c r="H24" s="71" t="str">
        <f ca="1">Combat!H15</f>
        <v/>
      </c>
      <c r="I24" s="192" t="str">
        <f ca="1">Combat!I15</f>
        <v/>
      </c>
      <c r="J24" s="71" t="str">
        <f ca="1">Combat!J15</f>
        <v/>
      </c>
      <c r="K24" s="71" t="str">
        <f ca="1">Combat!K15</f>
        <v/>
      </c>
      <c r="L24" s="71">
        <f ca="1">Combat!L15</f>
        <v>10</v>
      </c>
    </row>
    <row r="25" spans="1:18" x14ac:dyDescent="0.2">
      <c r="A25" s="201" t="str">
        <f ca="1">Combat!A16&amp;IF(Combat!Z16&gt;""," ("&amp;Combat!Z16&amp;")","")</f>
        <v>War Hammer</v>
      </c>
      <c r="B25" s="43" t="str">
        <f ca="1">Combat!B16</f>
        <v>Un</v>
      </c>
      <c r="C25" s="71">
        <f ca="1">Combat!C16</f>
        <v>16</v>
      </c>
      <c r="D25" s="71">
        <f ca="1">Combat!D16</f>
        <v>45</v>
      </c>
      <c r="E25" s="43">
        <f ca="1">Combat!E16</f>
        <v>3</v>
      </c>
      <c r="F25" s="43" t="str">
        <f ca="1">Combat!F16</f>
        <v>C</v>
      </c>
      <c r="G25" s="71" t="str">
        <f ca="1">Combat!G16</f>
        <v/>
      </c>
      <c r="H25" s="71" t="str">
        <f ca="1">Combat!H16</f>
        <v/>
      </c>
      <c r="I25" s="192" t="str">
        <f ca="1">Combat!I16</f>
        <v>6 hx</v>
      </c>
      <c r="J25" s="71">
        <f ca="1">Combat!J16</f>
        <v>16</v>
      </c>
      <c r="K25" s="71">
        <f ca="1">Combat!K16</f>
        <v>45</v>
      </c>
      <c r="L25" s="71">
        <f ca="1">Combat!L16</f>
        <v>10</v>
      </c>
    </row>
    <row r="26" spans="1:18" x14ac:dyDescent="0.2">
      <c r="A26" s="201" t="str">
        <f ca="1">Combat!A17&amp;IF(Combat!Z17&gt;""," ("&amp;Combat!Z17&amp;")","")</f>
        <v>Javelin</v>
      </c>
      <c r="B26" s="43" t="str">
        <f ca="1">Combat!B17</f>
        <v>Un</v>
      </c>
      <c r="C26" s="71">
        <f ca="1">Combat!C17</f>
        <v>16</v>
      </c>
      <c r="D26" s="71">
        <f ca="1">Combat!D17</f>
        <v>45</v>
      </c>
      <c r="E26" s="43">
        <f ca="1">Combat!E17</f>
        <v>2</v>
      </c>
      <c r="F26" s="43" t="str">
        <f ca="1">Combat!F17</f>
        <v>A</v>
      </c>
      <c r="G26" s="71" t="str">
        <f ca="1">Combat!G17</f>
        <v/>
      </c>
      <c r="H26" s="71" t="str">
        <f ca="1">Combat!H17</f>
        <v/>
      </c>
      <c r="I26" s="192" t="str">
        <f ca="1">Combat!I17</f>
        <v>12 hx</v>
      </c>
      <c r="J26" s="71">
        <f ca="1">Combat!J17</f>
        <v>16</v>
      </c>
      <c r="K26" s="71">
        <f ca="1">Combat!K17</f>
        <v>45</v>
      </c>
      <c r="L26" s="71">
        <f ca="1">Combat!L17</f>
        <v>10</v>
      </c>
    </row>
    <row r="27" spans="1:18" x14ac:dyDescent="0.2">
      <c r="A27" s="201" t="str">
        <f ca="1">Combat!A18&amp;IF(Combat!Z18&gt;""," ("&amp;Combat!Z18&amp;")","")</f>
        <v>Quarterstaff (2)</v>
      </c>
      <c r="B27" s="43" t="str">
        <f ca="1">Combat!B18</f>
        <v>Un</v>
      </c>
      <c r="C27" s="71">
        <f ca="1">Combat!C18</f>
        <v>16</v>
      </c>
      <c r="D27" s="71">
        <f ca="1">Combat!D18</f>
        <v>55</v>
      </c>
      <c r="E27" s="43">
        <f ca="1">Combat!E18</f>
        <v>2</v>
      </c>
      <c r="F27" s="43" t="str">
        <f ca="1">Combat!F18</f>
        <v>C</v>
      </c>
      <c r="G27" s="71" t="str">
        <f ca="1">Combat!G18</f>
        <v/>
      </c>
      <c r="H27" s="71" t="str">
        <f ca="1">Combat!H18</f>
        <v/>
      </c>
      <c r="I27" s="192" t="str">
        <f ca="1">Combat!I18</f>
        <v/>
      </c>
      <c r="J27" s="71" t="str">
        <f ca="1">Combat!J18</f>
        <v/>
      </c>
      <c r="K27" s="71" t="str">
        <f ca="1">Combat!K18</f>
        <v/>
      </c>
      <c r="L27" s="71">
        <f ca="1">Combat!L18</f>
        <v>10</v>
      </c>
    </row>
    <row r="28" spans="1:18" x14ac:dyDescent="0.2">
      <c r="A28" s="201" t="str">
        <f ca="1">Combat!A19&amp;IF(Combat!Z19&gt;""," ("&amp;Combat!Z19&amp;")","")</f>
        <v>Flail</v>
      </c>
      <c r="B28" s="43" t="str">
        <f ca="1">Combat!B19</f>
        <v>Un</v>
      </c>
      <c r="C28" s="71">
        <f ca="1">Combat!C19</f>
        <v>16</v>
      </c>
      <c r="D28" s="71">
        <f ca="1">Combat!D19</f>
        <v>50</v>
      </c>
      <c r="E28" s="43">
        <f ca="1">Combat!E19</f>
        <v>2</v>
      </c>
      <c r="F28" s="43" t="str">
        <f ca="1">Combat!F19</f>
        <v>C</v>
      </c>
      <c r="G28" s="71" t="str">
        <f ca="1">Combat!G19</f>
        <v/>
      </c>
      <c r="H28" s="71" t="str">
        <f ca="1">Combat!H19</f>
        <v/>
      </c>
      <c r="I28" s="192" t="str">
        <f ca="1">Combat!I19</f>
        <v/>
      </c>
      <c r="J28" s="71" t="str">
        <f ca="1">Combat!J19</f>
        <v/>
      </c>
      <c r="K28" s="71" t="str">
        <f ca="1">Combat!K19</f>
        <v/>
      </c>
      <c r="L28" s="71">
        <f ca="1">Combat!L19</f>
        <v>10</v>
      </c>
    </row>
    <row r="29" spans="1:18" x14ac:dyDescent="0.2">
      <c r="A29" s="201" t="str">
        <f ca="1">Combat!A20&amp;IF(Combat!Z20&gt;""," ("&amp;Combat!Z20&amp;")","")</f>
        <v>Hand &amp; a Half (1-2)</v>
      </c>
      <c r="B29" s="43" t="str">
        <f ca="1">Combat!B20</f>
        <v>Un</v>
      </c>
      <c r="C29" s="71">
        <f ca="1">Combat!C20</f>
        <v>16</v>
      </c>
      <c r="D29" s="71">
        <f ca="1">Combat!D20</f>
        <v>60</v>
      </c>
      <c r="E29" s="43">
        <f ca="1">Combat!E20</f>
        <v>3</v>
      </c>
      <c r="F29" s="43" t="str">
        <f ca="1">Combat!F20</f>
        <v>B</v>
      </c>
      <c r="G29" s="71" t="str">
        <f ca="1">Combat!G20</f>
        <v/>
      </c>
      <c r="H29" s="71" t="str">
        <f ca="1">Combat!H20</f>
        <v/>
      </c>
      <c r="I29" s="192" t="str">
        <f ca="1">Combat!I20</f>
        <v/>
      </c>
      <c r="J29" s="71" t="str">
        <f ca="1">Combat!J20</f>
        <v/>
      </c>
      <c r="K29" s="71" t="str">
        <f ca="1">Combat!K20</f>
        <v/>
      </c>
      <c r="L29" s="71">
        <f ca="1">Combat!L20</f>
        <v>10</v>
      </c>
    </row>
    <row r="30" spans="1:18" ht="6.75" customHeight="1" x14ac:dyDescent="0.2">
      <c r="A30" s="209"/>
      <c r="B30" s="209"/>
      <c r="C30" s="209"/>
      <c r="D30" s="209"/>
      <c r="E30" s="209"/>
      <c r="F30" s="209"/>
      <c r="G30" s="209"/>
      <c r="H30" s="209"/>
      <c r="I30" s="209"/>
      <c r="J30" s="209"/>
      <c r="K30" s="209"/>
      <c r="L30" s="209"/>
    </row>
    <row r="31" spans="1:18" x14ac:dyDescent="0.2">
      <c r="A31" s="190" t="str">
        <f ca="1">INDIRECT("Magic!B"&amp;ROW()-30,TRUE)</f>
        <v>E&amp;E (Thaumaturgy)</v>
      </c>
      <c r="B31" s="190" t="s">
        <v>149</v>
      </c>
      <c r="C31" s="190" t="s">
        <v>231</v>
      </c>
      <c r="D31" s="190" t="s">
        <v>265</v>
      </c>
      <c r="E31" s="190" t="s">
        <v>266</v>
      </c>
      <c r="F31" s="793" t="s">
        <v>2</v>
      </c>
      <c r="G31" s="793"/>
      <c r="H31" s="793" t="s">
        <v>232</v>
      </c>
      <c r="I31" s="793"/>
      <c r="J31" s="190" t="s">
        <v>234</v>
      </c>
      <c r="K31" s="190"/>
      <c r="L31" s="190"/>
    </row>
    <row r="32" spans="1:18" x14ac:dyDescent="0.2">
      <c r="A32" s="203" t="str">
        <f t="shared" ref="A32:A69" ca="1" si="0">INDIRECT("Magic!A"&amp;ROW()-30)&amp;". "&amp;INDIRECT("Magic!B"&amp;ROW()-30)</f>
        <v>T1. Wizardsight</v>
      </c>
      <c r="B32" s="94">
        <f t="shared" ref="B32:B69" ca="1" si="1">INDIRECT("Magic!C"&amp;ROW()-30)</f>
        <v>0</v>
      </c>
      <c r="C32" s="94">
        <f t="shared" ref="C32:C69" ca="1" si="2">INDIRECT("Magic!D"&amp;ROW()-30)</f>
        <v>0</v>
      </c>
      <c r="D32" s="94">
        <f t="shared" ref="D32:D69" ca="1" si="3">INDIRECT("Magic!E"&amp;ROW()-30)</f>
        <v>0</v>
      </c>
      <c r="E32" s="94">
        <f t="shared" ref="E32:E69" ca="1" si="4">INDIRECT("Magic!F"&amp;ROW()-30)</f>
        <v>0</v>
      </c>
      <c r="F32" s="786" t="str">
        <f t="shared" ref="F32:F69" ca="1" si="5">INDIRECT("Magic!G"&amp;ROW()-30)</f>
        <v>75/150 Feet</v>
      </c>
      <c r="G32" s="786"/>
      <c r="H32" s="786">
        <f t="shared" ref="H32:H69" ca="1" si="6">INDIRECT("Magic!H"&amp;ROW()-30)</f>
        <v>0</v>
      </c>
      <c r="I32" s="799"/>
      <c r="J32" s="790">
        <f t="shared" ref="J32:J69" ca="1" si="7">INDIRECT("Magic!I"&amp;ROW()-30)</f>
        <v>0</v>
      </c>
      <c r="K32" s="790"/>
      <c r="L32" s="790"/>
    </row>
    <row r="33" spans="1:12" x14ac:dyDescent="0.2">
      <c r="A33" s="203" t="str">
        <f t="shared" ca="1" si="0"/>
        <v>G1. Charming</v>
      </c>
      <c r="B33" s="94">
        <f t="shared" ca="1" si="1"/>
        <v>0</v>
      </c>
      <c r="C33" s="152">
        <f t="shared" ca="1" si="2"/>
        <v>15</v>
      </c>
      <c r="D33" s="152">
        <f t="shared" ca="1" si="3"/>
        <v>2.25</v>
      </c>
      <c r="E33" s="152">
        <f t="shared" ca="1" si="4"/>
        <v>0.75</v>
      </c>
      <c r="F33" s="786" t="str">
        <f t="shared" ca="1" si="5"/>
        <v>15 Feet</v>
      </c>
      <c r="G33" s="786"/>
      <c r="H33" s="786" t="str">
        <f t="shared" ca="1" si="6"/>
        <v>1 Hours</v>
      </c>
      <c r="I33" s="786"/>
      <c r="J33" s="790">
        <f t="shared" ca="1" si="7"/>
        <v>0</v>
      </c>
      <c r="K33" s="790"/>
      <c r="L33" s="790"/>
    </row>
    <row r="34" spans="1:12" x14ac:dyDescent="0.2">
      <c r="A34" s="203" t="str">
        <f t="shared" ca="1" si="0"/>
        <v>G2. Telekinesis</v>
      </c>
      <c r="B34" s="94">
        <f t="shared" ca="1" si="1"/>
        <v>0</v>
      </c>
      <c r="C34" s="152">
        <f t="shared" ca="1" si="2"/>
        <v>20</v>
      </c>
      <c r="D34" s="152">
        <f t="shared" ca="1" si="3"/>
        <v>3</v>
      </c>
      <c r="E34" s="152">
        <f t="shared" ca="1" si="4"/>
        <v>1</v>
      </c>
      <c r="F34" s="786" t="str">
        <f t="shared" ca="1" si="5"/>
        <v>15 Feet</v>
      </c>
      <c r="G34" s="786"/>
      <c r="H34" s="786" t="str">
        <f t="shared" ca="1" si="6"/>
        <v>10 Secs</v>
      </c>
      <c r="I34" s="786"/>
      <c r="J34" s="790" t="str">
        <f t="shared" ca="1" si="7"/>
        <v>Mv 2 lbs @ 2 TMR +0 lbs/0 TMR.</v>
      </c>
      <c r="K34" s="790"/>
      <c r="L34" s="790"/>
    </row>
    <row r="35" spans="1:12" ht="12.75" customHeight="1" x14ac:dyDescent="0.2">
      <c r="A35" s="203" t="str">
        <f t="shared" ca="1" si="0"/>
        <v>G3. Enchanted Sleep</v>
      </c>
      <c r="B35" s="94">
        <f t="shared" ca="1" si="1"/>
        <v>0</v>
      </c>
      <c r="C35" s="152">
        <f t="shared" ca="1" si="2"/>
        <v>15</v>
      </c>
      <c r="D35" s="152">
        <f t="shared" ca="1" si="3"/>
        <v>2.25</v>
      </c>
      <c r="E35" s="152">
        <f t="shared" ca="1" si="4"/>
        <v>0.75</v>
      </c>
      <c r="F35" s="786" t="str">
        <f t="shared" ca="1" si="5"/>
        <v>15 Feet</v>
      </c>
      <c r="G35" s="786"/>
      <c r="H35" s="786" t="str">
        <f t="shared" ca="1" si="6"/>
        <v>1 Hours</v>
      </c>
      <c r="I35" s="786"/>
      <c r="J35" s="790">
        <f t="shared" ca="1" si="7"/>
        <v>0</v>
      </c>
      <c r="K35" s="790"/>
      <c r="L35" s="790"/>
    </row>
    <row r="36" spans="1:12" x14ac:dyDescent="0.2">
      <c r="A36" s="203" t="str">
        <f t="shared" ca="1" si="0"/>
        <v>G4. Walking Unseen</v>
      </c>
      <c r="B36" s="94">
        <f t="shared" ca="1" si="1"/>
        <v>0</v>
      </c>
      <c r="C36" s="152">
        <f t="shared" ca="1" si="2"/>
        <v>40</v>
      </c>
      <c r="D36" s="152">
        <f t="shared" ca="1" si="3"/>
        <v>6</v>
      </c>
      <c r="E36" s="152">
        <f t="shared" ca="1" si="4"/>
        <v>2</v>
      </c>
      <c r="F36" s="786" t="str">
        <f t="shared" ca="1" si="5"/>
        <v>1 Feet</v>
      </c>
      <c r="G36" s="786"/>
      <c r="H36" s="786" t="str">
        <f t="shared" ca="1" si="6"/>
        <v>1 Hours</v>
      </c>
      <c r="I36" s="786"/>
      <c r="J36" s="790">
        <f t="shared" ca="1" si="7"/>
        <v>0</v>
      </c>
      <c r="K36" s="790"/>
      <c r="L36" s="790"/>
    </row>
    <row r="37" spans="1:12" x14ac:dyDescent="0.2">
      <c r="A37" s="203" t="str">
        <f t="shared" ca="1" si="0"/>
        <v>G5. Speaking to Enchanted Creatures</v>
      </c>
      <c r="B37" s="94">
        <f t="shared" ca="1" si="1"/>
        <v>0</v>
      </c>
      <c r="C37" s="152">
        <f t="shared" ca="1" si="2"/>
        <v>40</v>
      </c>
      <c r="D37" s="152">
        <f t="shared" ca="1" si="3"/>
        <v>6</v>
      </c>
      <c r="E37" s="152">
        <f t="shared" ca="1" si="4"/>
        <v>2</v>
      </c>
      <c r="F37" s="786" t="str">
        <f t="shared" ca="1" si="5"/>
        <v>15 Feet</v>
      </c>
      <c r="G37" s="786"/>
      <c r="H37" s="786" t="str">
        <f t="shared" ca="1" si="6"/>
        <v>10 Mins</v>
      </c>
      <c r="I37" s="786"/>
      <c r="J37" s="790">
        <f t="shared" ca="1" si="7"/>
        <v>0</v>
      </c>
      <c r="K37" s="790"/>
      <c r="L37" s="790"/>
    </row>
    <row r="38" spans="1:12" x14ac:dyDescent="0.2">
      <c r="A38" s="203" t="str">
        <f t="shared" ca="1" si="0"/>
        <v>G6. Location</v>
      </c>
      <c r="B38" s="94">
        <f t="shared" ca="1" si="1"/>
        <v>0</v>
      </c>
      <c r="C38" s="152">
        <f t="shared" ca="1" si="2"/>
        <v>15</v>
      </c>
      <c r="D38" s="152">
        <f t="shared" ca="1" si="3"/>
        <v>2.25</v>
      </c>
      <c r="E38" s="152">
        <f t="shared" ca="1" si="4"/>
        <v>0.75</v>
      </c>
      <c r="F38" s="786" t="str">
        <f t="shared" ca="1" si="5"/>
        <v>10 Miles</v>
      </c>
      <c r="G38" s="786"/>
      <c r="H38" s="786" t="str">
        <f t="shared" ca="1" si="6"/>
        <v>1 Hours</v>
      </c>
      <c r="I38" s="786"/>
      <c r="J38" s="790">
        <f t="shared" ca="1" si="7"/>
        <v>0</v>
      </c>
      <c r="K38" s="790"/>
      <c r="L38" s="790"/>
    </row>
    <row r="39" spans="1:12" x14ac:dyDescent="0.2">
      <c r="A39" s="203" t="str">
        <f t="shared" ca="1" si="0"/>
        <v>G7. Mass Charming</v>
      </c>
      <c r="B39" s="94">
        <f t="shared" ca="1" si="1"/>
        <v>0</v>
      </c>
      <c r="C39" s="152">
        <f t="shared" ca="1" si="2"/>
        <v>5</v>
      </c>
      <c r="D39" s="152">
        <f t="shared" ca="1" si="3"/>
        <v>0.75</v>
      </c>
      <c r="E39" s="152">
        <f t="shared" ca="1" si="4"/>
        <v>0.25</v>
      </c>
      <c r="F39" s="786" t="str">
        <f t="shared" ca="1" si="5"/>
        <v>15 Feet</v>
      </c>
      <c r="G39" s="786"/>
      <c r="H39" s="786" t="str">
        <f t="shared" ca="1" si="6"/>
        <v>Conc. No Max</v>
      </c>
      <c r="I39" s="786"/>
      <c r="J39" s="790" t="str">
        <f t="shared" ca="1" si="7"/>
        <v>Charms Up to 1 Entities</v>
      </c>
      <c r="K39" s="790"/>
      <c r="L39" s="790"/>
    </row>
    <row r="40" spans="1:12" x14ac:dyDescent="0.2">
      <c r="A40" s="203" t="str">
        <f t="shared" ca="1" si="0"/>
        <v>G8. Invisibility</v>
      </c>
      <c r="B40" s="94">
        <f t="shared" ca="1" si="1"/>
        <v>0</v>
      </c>
      <c r="C40" s="152">
        <f t="shared" ca="1" si="2"/>
        <v>45</v>
      </c>
      <c r="D40" s="152">
        <f t="shared" ca="1" si="3"/>
        <v>6.75</v>
      </c>
      <c r="E40" s="152">
        <f t="shared" ca="1" si="4"/>
        <v>2.25</v>
      </c>
      <c r="F40" s="786" t="str">
        <f t="shared" ca="1" si="5"/>
        <v>15 Feet</v>
      </c>
      <c r="G40" s="786"/>
      <c r="H40" s="786" t="str">
        <f t="shared" ca="1" si="6"/>
        <v>5 Mins</v>
      </c>
      <c r="I40" s="786"/>
      <c r="J40" s="790">
        <f t="shared" ca="1" si="7"/>
        <v>0</v>
      </c>
      <c r="K40" s="790"/>
      <c r="L40" s="790"/>
    </row>
    <row r="41" spans="1:12" ht="12.75" customHeight="1" x14ac:dyDescent="0.2">
      <c r="A41" s="203" t="str">
        <f t="shared" ca="1" si="0"/>
        <v>G9. Evil Eye</v>
      </c>
      <c r="B41" s="94">
        <f t="shared" ca="1" si="1"/>
        <v>0</v>
      </c>
      <c r="C41" s="152">
        <f t="shared" ca="1" si="2"/>
        <v>20</v>
      </c>
      <c r="D41" s="152">
        <f t="shared" ca="1" si="3"/>
        <v>3</v>
      </c>
      <c r="E41" s="152">
        <f t="shared" ca="1" si="4"/>
        <v>1</v>
      </c>
      <c r="F41" s="786" t="str">
        <f t="shared" ca="1" si="5"/>
        <v>15 Feet</v>
      </c>
      <c r="G41" s="786"/>
      <c r="H41" s="786" t="str">
        <f t="shared" ca="1" si="6"/>
        <v>1 Days</v>
      </c>
      <c r="I41" s="786"/>
      <c r="J41" s="790" t="str">
        <f t="shared" ca="1" si="7"/>
        <v>-1 from BC% &amp; SC%</v>
      </c>
      <c r="K41" s="790"/>
      <c r="L41" s="790"/>
    </row>
    <row r="42" spans="1:12" x14ac:dyDescent="0.2">
      <c r="A42" s="203" t="str">
        <f t="shared" ca="1" si="0"/>
        <v>Gcs. E&amp;E General Counterspell</v>
      </c>
      <c r="B42" s="94">
        <f t="shared" ca="1" si="1"/>
        <v>0</v>
      </c>
      <c r="C42" s="152">
        <f t="shared" ca="1" si="2"/>
        <v>40</v>
      </c>
      <c r="D42" s="152">
        <f t="shared" ca="1" si="3"/>
        <v>6</v>
      </c>
      <c r="E42" s="152">
        <f t="shared" ca="1" si="4"/>
        <v>2</v>
      </c>
      <c r="F42" s="786" t="str">
        <f t="shared" ca="1" si="5"/>
        <v>25 Feet</v>
      </c>
      <c r="G42" s="786"/>
      <c r="H42" s="786" t="str">
        <f t="shared" ca="1" si="6"/>
        <v>D+5 Mins</v>
      </c>
      <c r="I42" s="786"/>
      <c r="J42" s="790" t="str">
        <f t="shared" ca="1" si="7"/>
        <v>+30 to MR.</v>
      </c>
      <c r="K42" s="790"/>
      <c r="L42" s="790"/>
    </row>
    <row r="43" spans="1:12" x14ac:dyDescent="0.2">
      <c r="A43" s="203" t="str">
        <f t="shared" ca="1" si="0"/>
        <v>Gcs. E&amp;E Special Counterspell</v>
      </c>
      <c r="B43" s="94">
        <f t="shared" ca="1" si="1"/>
        <v>0</v>
      </c>
      <c r="C43" s="152">
        <f t="shared" ca="1" si="2"/>
        <v>40</v>
      </c>
      <c r="D43" s="152">
        <f t="shared" ca="1" si="3"/>
        <v>6</v>
      </c>
      <c r="E43" s="152">
        <f t="shared" ca="1" si="4"/>
        <v>2</v>
      </c>
      <c r="F43" s="786" t="str">
        <f t="shared" ca="1" si="5"/>
        <v>25 Feet</v>
      </c>
      <c r="G43" s="786"/>
      <c r="H43" s="786" t="str">
        <f t="shared" ca="1" si="6"/>
        <v>D+5 Mins</v>
      </c>
      <c r="I43" s="786"/>
      <c r="J43" s="790" t="str">
        <f t="shared" ca="1" si="7"/>
        <v>+30 to MR.</v>
      </c>
      <c r="K43" s="790"/>
      <c r="L43" s="790"/>
    </row>
    <row r="44" spans="1:12" x14ac:dyDescent="0.2">
      <c r="A44" s="203" t="str">
        <f t="shared" ca="1" si="0"/>
        <v>Q1. Greater Enchantment</v>
      </c>
      <c r="B44" s="94">
        <f t="shared" ca="1" si="1"/>
        <v>0</v>
      </c>
      <c r="C44" s="152">
        <f t="shared" ca="1" si="2"/>
        <v>80</v>
      </c>
      <c r="D44" s="152">
        <f t="shared" ca="1" si="3"/>
        <v>12</v>
      </c>
      <c r="E44" s="152">
        <f t="shared" ca="1" si="4"/>
        <v>4</v>
      </c>
      <c r="F44" s="786">
        <f t="shared" ca="1" si="5"/>
        <v>0</v>
      </c>
      <c r="G44" s="786"/>
      <c r="H44" s="786" t="str">
        <f t="shared" ca="1" si="6"/>
        <v>1 Day</v>
      </c>
      <c r="I44" s="786"/>
      <c r="J44" s="790" t="str">
        <f t="shared" ca="1" si="7"/>
        <v>+1%  5 targets +0 days/targets.</v>
      </c>
      <c r="K44" s="790"/>
      <c r="L44" s="790"/>
    </row>
    <row r="45" spans="1:12" x14ac:dyDescent="0.2">
      <c r="A45" s="203" t="str">
        <f t="shared" ca="1" si="0"/>
        <v>Q2. Creating Crystal of Vision</v>
      </c>
      <c r="B45" s="94">
        <f t="shared" ca="1" si="1"/>
        <v>0</v>
      </c>
      <c r="C45" s="152">
        <f t="shared" ca="1" si="2"/>
        <v>75</v>
      </c>
      <c r="D45" s="152">
        <f t="shared" ca="1" si="3"/>
        <v>11.25</v>
      </c>
      <c r="E45" s="152">
        <f t="shared" ca="1" si="4"/>
        <v>3.75</v>
      </c>
      <c r="F45" s="786">
        <f t="shared" ca="1" si="5"/>
        <v>0</v>
      </c>
      <c r="G45" s="786"/>
      <c r="H45" s="786">
        <f t="shared" ca="1" si="6"/>
        <v>0</v>
      </c>
      <c r="I45" s="786"/>
      <c r="J45" s="790" t="str">
        <f t="shared" ca="1" si="7"/>
        <v>1 Hr 1,000sp. 10 min dur. 5 miles range</v>
      </c>
      <c r="K45" s="790"/>
      <c r="L45" s="790"/>
    </row>
    <row r="46" spans="1:12" ht="12.75" customHeight="1" x14ac:dyDescent="0.2">
      <c r="A46" s="203" t="str">
        <f t="shared" ca="1" si="0"/>
        <v>Q3. Creating Sleep Dust</v>
      </c>
      <c r="B46" s="94">
        <f t="shared" ca="1" si="1"/>
        <v>0</v>
      </c>
      <c r="C46" s="152">
        <f t="shared" ca="1" si="2"/>
        <v>80</v>
      </c>
      <c r="D46" s="152">
        <f t="shared" ca="1" si="3"/>
        <v>12</v>
      </c>
      <c r="E46" s="152">
        <f t="shared" ca="1" si="4"/>
        <v>4</v>
      </c>
      <c r="F46" s="786">
        <f t="shared" ca="1" si="5"/>
        <v>0</v>
      </c>
      <c r="G46" s="786"/>
      <c r="H46" s="786">
        <f t="shared" ca="1" si="6"/>
        <v>0</v>
      </c>
      <c r="I46" s="786"/>
      <c r="J46" s="790" t="str">
        <f t="shared" ca="1" si="7"/>
        <v>3 Hrs, 10,000sp Sleep -20MR</v>
      </c>
      <c r="K46" s="790"/>
      <c r="L46" s="790"/>
    </row>
    <row r="47" spans="1:12" ht="12.75" customHeight="1" x14ac:dyDescent="0.2">
      <c r="A47" s="203" t="str">
        <f t="shared" ca="1" si="0"/>
        <v>Q4. Manufacturing Poison Dust</v>
      </c>
      <c r="B47" s="94">
        <f t="shared" ca="1" si="1"/>
        <v>0</v>
      </c>
      <c r="C47" s="152">
        <f t="shared" ca="1" si="2"/>
        <v>80</v>
      </c>
      <c r="D47" s="152">
        <f t="shared" ca="1" si="3"/>
        <v>12</v>
      </c>
      <c r="E47" s="152">
        <f t="shared" ca="1" si="4"/>
        <v>4</v>
      </c>
      <c r="F47" s="786">
        <f t="shared" ca="1" si="5"/>
        <v>0</v>
      </c>
      <c r="G47" s="786"/>
      <c r="H47" s="786">
        <f t="shared" ca="1" si="6"/>
        <v>0</v>
      </c>
      <c r="I47" s="786"/>
      <c r="J47" s="790" t="str">
        <f t="shared" ca="1" si="7"/>
        <v>3 Hrs, 10,000sp D+-5 -20MR</v>
      </c>
      <c r="K47" s="790"/>
      <c r="L47" s="790"/>
    </row>
    <row r="48" spans="1:12" x14ac:dyDescent="0.2">
      <c r="A48" s="203" t="str">
        <f t="shared" ca="1" si="0"/>
        <v>Qp. Purification</v>
      </c>
      <c r="B48" s="94">
        <f t="shared" ca="1" si="1"/>
        <v>0</v>
      </c>
      <c r="C48" s="152">
        <f t="shared" ca="1" si="2"/>
        <v>30</v>
      </c>
      <c r="D48" s="152">
        <f t="shared" ca="1" si="3"/>
        <v>4.5</v>
      </c>
      <c r="E48" s="152">
        <f t="shared" ca="1" si="4"/>
        <v>1.5</v>
      </c>
      <c r="F48" s="786">
        <f t="shared" ca="1" si="5"/>
        <v>0</v>
      </c>
      <c r="G48" s="786"/>
      <c r="H48" s="786" t="str">
        <f t="shared" ca="1" si="6"/>
        <v>4 Hours</v>
      </c>
      <c r="I48" s="786"/>
      <c r="J48" s="790" t="str">
        <f t="shared" ca="1" si="7"/>
        <v>+ 0 MR. +0 MA.</v>
      </c>
      <c r="K48" s="790"/>
      <c r="L48" s="790"/>
    </row>
    <row r="49" spans="1:12" x14ac:dyDescent="0.2">
      <c r="A49" s="203" t="str">
        <f t="shared" ca="1" si="0"/>
        <v>S1. Ventriloquism</v>
      </c>
      <c r="B49" s="94" t="str">
        <f t="shared" ca="1" si="1"/>
        <v>Un</v>
      </c>
      <c r="C49" s="152">
        <f t="shared" ca="1" si="2"/>
        <v>57</v>
      </c>
      <c r="D49" s="152">
        <f t="shared" ca="1" si="3"/>
        <v>8.5499999999999989</v>
      </c>
      <c r="E49" s="152">
        <f t="shared" ca="1" si="4"/>
        <v>2.85</v>
      </c>
      <c r="F49" s="786" t="str">
        <f t="shared" ca="1" si="5"/>
        <v>90 Feet</v>
      </c>
      <c r="G49" s="786"/>
      <c r="H49" s="786" t="str">
        <f t="shared" ca="1" si="6"/>
        <v>2 Mins</v>
      </c>
      <c r="I49" s="786"/>
      <c r="J49" s="790">
        <f t="shared" ca="1" si="7"/>
        <v>0</v>
      </c>
      <c r="K49" s="790"/>
      <c r="L49" s="790"/>
    </row>
    <row r="50" spans="1:12" x14ac:dyDescent="0.2">
      <c r="A50" s="203" t="str">
        <f t="shared" ca="1" si="0"/>
        <v>S2. Bolt of Energy</v>
      </c>
      <c r="B50" s="94" t="str">
        <f t="shared" ca="1" si="1"/>
        <v>Un</v>
      </c>
      <c r="C50" s="152">
        <f t="shared" ca="1" si="2"/>
        <v>47</v>
      </c>
      <c r="D50" s="152">
        <f t="shared" ca="1" si="3"/>
        <v>7.05</v>
      </c>
      <c r="E50" s="152">
        <f t="shared" ca="1" si="4"/>
        <v>2.35</v>
      </c>
      <c r="F50" s="786" t="str">
        <f t="shared" ca="1" si="5"/>
        <v>0 Feet</v>
      </c>
      <c r="G50" s="786"/>
      <c r="H50" s="786" t="str">
        <f t="shared" ca="1" si="6"/>
        <v>Immediate</v>
      </c>
      <c r="I50" s="786"/>
      <c r="J50" s="790" t="str">
        <f t="shared" ca="1" si="7"/>
        <v>D-5 + -1 Dam.  Res: 0.</v>
      </c>
      <c r="K50" s="790"/>
      <c r="L50" s="790"/>
    </row>
    <row r="51" spans="1:12" x14ac:dyDescent="0.2">
      <c r="A51" s="203" t="str">
        <f t="shared" ca="1" si="0"/>
        <v>S3. Opening</v>
      </c>
      <c r="B51" s="94" t="str">
        <f t="shared" ca="1" si="1"/>
        <v>Un</v>
      </c>
      <c r="C51" s="152">
        <f t="shared" ca="1" si="2"/>
        <v>27</v>
      </c>
      <c r="D51" s="152">
        <f t="shared" ca="1" si="3"/>
        <v>4.05</v>
      </c>
      <c r="E51" s="152">
        <f t="shared" ca="1" si="4"/>
        <v>1.35</v>
      </c>
      <c r="F51" s="786" t="str">
        <f t="shared" ca="1" si="5"/>
        <v>0 Feet</v>
      </c>
      <c r="G51" s="786"/>
      <c r="H51" s="786" t="str">
        <f t="shared" ca="1" si="6"/>
        <v>Immediate</v>
      </c>
      <c r="I51" s="786"/>
      <c r="J51" s="790">
        <f t="shared" ca="1" si="7"/>
        <v>0</v>
      </c>
      <c r="K51" s="790"/>
      <c r="L51" s="790"/>
    </row>
    <row r="52" spans="1:12" ht="12.75" customHeight="1" x14ac:dyDescent="0.2">
      <c r="A52" s="203" t="str">
        <f t="shared" ca="1" si="0"/>
        <v>S4. Enchant Weapon</v>
      </c>
      <c r="B52" s="94" t="str">
        <f t="shared" ca="1" si="1"/>
        <v>Un</v>
      </c>
      <c r="C52" s="152">
        <f t="shared" ca="1" si="2"/>
        <v>27</v>
      </c>
      <c r="D52" s="152">
        <f t="shared" ca="1" si="3"/>
        <v>4.05</v>
      </c>
      <c r="E52" s="152">
        <f t="shared" ca="1" si="4"/>
        <v>1.35</v>
      </c>
      <c r="F52" s="786" t="str">
        <f t="shared" ca="1" si="5"/>
        <v>0 Feet</v>
      </c>
      <c r="G52" s="786"/>
      <c r="H52" s="786" t="str">
        <f t="shared" ca="1" si="6"/>
        <v>4 Mins</v>
      </c>
      <c r="I52" s="786"/>
      <c r="J52" s="790" t="str">
        <f t="shared" ca="1" si="7"/>
        <v>+0 BC%, +0 Dam.</v>
      </c>
      <c r="K52" s="790"/>
      <c r="L52" s="790"/>
    </row>
    <row r="53" spans="1:12" x14ac:dyDescent="0.2">
      <c r="A53" s="203" t="str">
        <f t="shared" ca="1" si="0"/>
        <v>S5. Web of Entanglement</v>
      </c>
      <c r="B53" s="94" t="str">
        <f t="shared" ca="1" si="1"/>
        <v>Un</v>
      </c>
      <c r="C53" s="152">
        <f t="shared" ca="1" si="2"/>
        <v>32</v>
      </c>
      <c r="D53" s="152">
        <f t="shared" ca="1" si="3"/>
        <v>4.8</v>
      </c>
      <c r="E53" s="152">
        <f t="shared" ca="1" si="4"/>
        <v>1.6</v>
      </c>
      <c r="F53" s="786" t="str">
        <f t="shared" ca="1" si="5"/>
        <v>0 Feet</v>
      </c>
      <c r="G53" s="786"/>
      <c r="H53" s="786" t="str">
        <f t="shared" ca="1" si="6"/>
        <v>0 C. Mins</v>
      </c>
      <c r="I53" s="786"/>
      <c r="J53" s="790">
        <f t="shared" ca="1" si="7"/>
        <v>0</v>
      </c>
      <c r="K53" s="790"/>
      <c r="L53" s="790"/>
    </row>
    <row r="54" spans="1:12" x14ac:dyDescent="0.2">
      <c r="A54" s="203" t="str">
        <f t="shared" ca="1" si="0"/>
        <v>S6. Mage Lock</v>
      </c>
      <c r="B54" s="94" t="str">
        <f t="shared" ca="1" si="1"/>
        <v>Un</v>
      </c>
      <c r="C54" s="152">
        <f t="shared" ca="1" si="2"/>
        <v>27</v>
      </c>
      <c r="D54" s="152">
        <f t="shared" ca="1" si="3"/>
        <v>4.05</v>
      </c>
      <c r="E54" s="152">
        <f t="shared" ca="1" si="4"/>
        <v>1.35</v>
      </c>
      <c r="F54" s="786" t="str">
        <f t="shared" ca="1" si="5"/>
        <v>0 Feet</v>
      </c>
      <c r="G54" s="786"/>
      <c r="H54" s="786" t="str">
        <f t="shared" ca="1" si="6"/>
        <v>0 Hours</v>
      </c>
      <c r="I54" s="786"/>
      <c r="J54" s="790">
        <f t="shared" ca="1" si="7"/>
        <v>0</v>
      </c>
      <c r="K54" s="790"/>
      <c r="L54" s="790"/>
    </row>
    <row r="55" spans="1:12" x14ac:dyDescent="0.2">
      <c r="A55" s="203" t="str">
        <f t="shared" ca="1" si="0"/>
        <v>S7. Enhancing Enchantment</v>
      </c>
      <c r="B55" s="94" t="str">
        <f t="shared" ca="1" si="1"/>
        <v>Un</v>
      </c>
      <c r="C55" s="152">
        <f t="shared" ca="1" si="2"/>
        <v>22</v>
      </c>
      <c r="D55" s="152">
        <f t="shared" ca="1" si="3"/>
        <v>3.3</v>
      </c>
      <c r="E55" s="152">
        <f t="shared" ca="1" si="4"/>
        <v>1.1000000000000001</v>
      </c>
      <c r="F55" s="786" t="str">
        <f t="shared" ca="1" si="5"/>
        <v>0 Feet</v>
      </c>
      <c r="G55" s="786"/>
      <c r="H55" s="786" t="str">
        <f t="shared" ca="1" si="6"/>
        <v>5 Secs</v>
      </c>
      <c r="I55" s="786"/>
      <c r="J55" s="790">
        <f t="shared" ca="1" si="7"/>
        <v>0</v>
      </c>
      <c r="K55" s="790"/>
      <c r="L55" s="790"/>
    </row>
    <row r="56" spans="1:12" x14ac:dyDescent="0.2">
      <c r="A56" s="203" t="str">
        <f t="shared" ca="1" si="0"/>
        <v>S8. Levitation</v>
      </c>
      <c r="B56" s="94" t="str">
        <f t="shared" ca="1" si="1"/>
        <v>Un</v>
      </c>
      <c r="C56" s="152">
        <f t="shared" ca="1" si="2"/>
        <v>22</v>
      </c>
      <c r="D56" s="152">
        <f t="shared" ca="1" si="3"/>
        <v>3.3</v>
      </c>
      <c r="E56" s="152">
        <f t="shared" ca="1" si="4"/>
        <v>1.1000000000000001</v>
      </c>
      <c r="F56" s="786" t="str">
        <f t="shared" ca="1" si="5"/>
        <v>0 Feet</v>
      </c>
      <c r="G56" s="786"/>
      <c r="H56" s="786" t="str">
        <f t="shared" ca="1" si="6"/>
        <v>D-5 * -10 Mins</v>
      </c>
      <c r="I56" s="786"/>
      <c r="J56" s="790">
        <f t="shared" ca="1" si="7"/>
        <v>0</v>
      </c>
      <c r="K56" s="790"/>
      <c r="L56" s="790"/>
    </row>
    <row r="57" spans="1:12" ht="12.75" customHeight="1" x14ac:dyDescent="0.2">
      <c r="A57" s="203" t="str">
        <f t="shared" ca="1" si="0"/>
        <v>S9. Enchant Armour</v>
      </c>
      <c r="B57" s="94" t="str">
        <f t="shared" ca="1" si="1"/>
        <v>Un</v>
      </c>
      <c r="C57" s="152">
        <f t="shared" ca="1" si="2"/>
        <v>17</v>
      </c>
      <c r="D57" s="152">
        <f t="shared" ca="1" si="3"/>
        <v>2.5499999999999998</v>
      </c>
      <c r="E57" s="152">
        <f t="shared" ca="1" si="4"/>
        <v>0.85000000000000009</v>
      </c>
      <c r="F57" s="786" t="str">
        <f t="shared" ca="1" si="5"/>
        <v>0 Feet</v>
      </c>
      <c r="G57" s="786"/>
      <c r="H57" s="786" t="str">
        <f t="shared" ca="1" si="6"/>
        <v>0 Hours</v>
      </c>
      <c r="I57" s="786"/>
      <c r="J57" s="790" t="str">
        <f t="shared" ca="1" si="7"/>
        <v>0% Defence</v>
      </c>
      <c r="K57" s="790"/>
      <c r="L57" s="790"/>
    </row>
    <row r="58" spans="1:12" x14ac:dyDescent="0.2">
      <c r="A58" s="203" t="str">
        <f t="shared" ca="1" si="0"/>
        <v>S10. Wizards's Eye</v>
      </c>
      <c r="B58" s="94" t="str">
        <f t="shared" ca="1" si="1"/>
        <v>Un</v>
      </c>
      <c r="C58" s="152">
        <f t="shared" ca="1" si="2"/>
        <v>17</v>
      </c>
      <c r="D58" s="152">
        <f t="shared" ca="1" si="3"/>
        <v>2.5499999999999998</v>
      </c>
      <c r="E58" s="152">
        <f t="shared" ca="1" si="4"/>
        <v>0.85000000000000009</v>
      </c>
      <c r="F58" s="786" t="str">
        <f t="shared" ca="1" si="5"/>
        <v>0 Feet</v>
      </c>
      <c r="G58" s="786"/>
      <c r="H58" s="786" t="str">
        <f t="shared" ca="1" si="6"/>
        <v>0 Mins</v>
      </c>
      <c r="I58" s="786"/>
      <c r="J58" s="790">
        <f t="shared" ca="1" si="7"/>
        <v>0</v>
      </c>
      <c r="K58" s="790"/>
      <c r="L58" s="790"/>
    </row>
    <row r="59" spans="1:12" x14ac:dyDescent="0.2">
      <c r="A59" s="203" t="str">
        <f t="shared" ca="1" si="0"/>
        <v>S11. Slowness</v>
      </c>
      <c r="B59" s="94" t="str">
        <f t="shared" ca="1" si="1"/>
        <v>Un</v>
      </c>
      <c r="C59" s="152">
        <f t="shared" ca="1" si="2"/>
        <v>17</v>
      </c>
      <c r="D59" s="152">
        <f t="shared" ca="1" si="3"/>
        <v>2.5499999999999998</v>
      </c>
      <c r="E59" s="152">
        <f t="shared" ca="1" si="4"/>
        <v>0.85000000000000009</v>
      </c>
      <c r="F59" s="786" t="str">
        <f t="shared" ca="1" si="5"/>
        <v>0 Feet</v>
      </c>
      <c r="G59" s="786"/>
      <c r="H59" s="786" t="str">
        <f t="shared" ca="1" si="6"/>
        <v>D-5 * -10 Secs</v>
      </c>
      <c r="I59" s="786"/>
      <c r="J59" s="790" t="str">
        <f t="shared" ca="1" si="7"/>
        <v>1 Targets</v>
      </c>
      <c r="K59" s="790"/>
      <c r="L59" s="790"/>
    </row>
    <row r="60" spans="1:12" x14ac:dyDescent="0.2">
      <c r="A60" s="203" t="str">
        <f t="shared" ca="1" si="0"/>
        <v>S12. Quickness</v>
      </c>
      <c r="B60" s="94" t="str">
        <f t="shared" ca="1" si="1"/>
        <v>Un</v>
      </c>
      <c r="C60" s="152">
        <f t="shared" ca="1" si="2"/>
        <v>17</v>
      </c>
      <c r="D60" s="152">
        <f t="shared" ca="1" si="3"/>
        <v>2.5499999999999998</v>
      </c>
      <c r="E60" s="152">
        <f t="shared" ca="1" si="4"/>
        <v>0.85000000000000009</v>
      </c>
      <c r="F60" s="786" t="str">
        <f t="shared" ca="1" si="5"/>
        <v>0 Feet</v>
      </c>
      <c r="G60" s="786"/>
      <c r="H60" s="786" t="str">
        <f t="shared" ca="1" si="6"/>
        <v>D-5 * -10 Secs</v>
      </c>
      <c r="I60" s="786"/>
      <c r="J60" s="790" t="str">
        <f t="shared" ca="1" si="7"/>
        <v>1 Targets +10 IV</v>
      </c>
      <c r="K60" s="790"/>
      <c r="L60" s="790"/>
    </row>
    <row r="61" spans="1:12" x14ac:dyDescent="0.2">
      <c r="A61" s="203" t="str">
        <f t="shared" ca="1" si="0"/>
        <v xml:space="preserve">. </v>
      </c>
      <c r="B61" s="94">
        <f t="shared" ca="1" si="1"/>
        <v>0</v>
      </c>
      <c r="C61" s="152">
        <f t="shared" ca="1" si="2"/>
        <v>0</v>
      </c>
      <c r="D61" s="152">
        <f t="shared" ca="1" si="3"/>
        <v>0</v>
      </c>
      <c r="E61" s="152">
        <f t="shared" ca="1" si="4"/>
        <v>0</v>
      </c>
      <c r="F61" s="786">
        <f t="shared" ca="1" si="5"/>
        <v>0</v>
      </c>
      <c r="G61" s="786"/>
      <c r="H61" s="786">
        <f t="shared" ca="1" si="6"/>
        <v>0</v>
      </c>
      <c r="I61" s="786"/>
      <c r="J61" s="790">
        <f t="shared" ca="1" si="7"/>
        <v>0</v>
      </c>
      <c r="K61" s="790"/>
      <c r="L61" s="790"/>
    </row>
    <row r="62" spans="1:12" ht="12.75" customHeight="1" x14ac:dyDescent="0.2">
      <c r="A62" s="203" t="str">
        <f t="shared" ca="1" si="0"/>
        <v>. Illusion (Thaumaturgy)</v>
      </c>
      <c r="B62" s="94" t="str">
        <f t="shared" ca="1" si="1"/>
        <v>Rk</v>
      </c>
      <c r="C62" s="152" t="str">
        <f t="shared" ca="1" si="2"/>
        <v>%</v>
      </c>
      <c r="D62" s="152" t="str">
        <f t="shared" ca="1" si="3"/>
        <v>Dbl</v>
      </c>
      <c r="E62" s="152" t="str">
        <f t="shared" ca="1" si="4"/>
        <v>Trp</v>
      </c>
      <c r="F62" s="786" t="str">
        <f t="shared" ca="1" si="5"/>
        <v>Range</v>
      </c>
      <c r="G62" s="786"/>
      <c r="H62" s="786" t="str">
        <f t="shared" ca="1" si="6"/>
        <v>Duration</v>
      </c>
      <c r="I62" s="786"/>
      <c r="J62" s="790" t="str">
        <f t="shared" ca="1" si="7"/>
        <v>Effect</v>
      </c>
      <c r="K62" s="790"/>
      <c r="L62" s="790"/>
    </row>
    <row r="63" spans="1:12" x14ac:dyDescent="0.2">
      <c r="A63" s="203" t="str">
        <f t="shared" ca="1" si="0"/>
        <v>T1. Concealed Casting</v>
      </c>
      <c r="B63" s="94">
        <f t="shared" ca="1" si="1"/>
        <v>0</v>
      </c>
      <c r="C63" s="152">
        <f t="shared" ca="1" si="2"/>
        <v>0</v>
      </c>
      <c r="D63" s="152">
        <f t="shared" ca="1" si="3"/>
        <v>0</v>
      </c>
      <c r="E63" s="152">
        <f t="shared" ca="1" si="4"/>
        <v>0</v>
      </c>
      <c r="F63" s="786">
        <f t="shared" ca="1" si="5"/>
        <v>0</v>
      </c>
      <c r="G63" s="786"/>
      <c r="H63" s="786">
        <f t="shared" ca="1" si="6"/>
        <v>0</v>
      </c>
      <c r="I63" s="786"/>
      <c r="J63" s="790" t="str">
        <f t="shared" ca="1" si="7"/>
        <v>Cap eff rank, -20% cast chance</v>
      </c>
      <c r="K63" s="790"/>
      <c r="L63" s="790"/>
    </row>
    <row r="64" spans="1:12" x14ac:dyDescent="0.2">
      <c r="A64" s="203" t="str">
        <f t="shared" ca="1" si="0"/>
        <v>T2. Enhanced Vision</v>
      </c>
      <c r="B64" s="94">
        <f t="shared" ca="1" si="1"/>
        <v>0</v>
      </c>
      <c r="C64" s="152">
        <f t="shared" ca="1" si="2"/>
        <v>0</v>
      </c>
      <c r="D64" s="152">
        <f t="shared" ca="1" si="3"/>
        <v>0</v>
      </c>
      <c r="E64" s="152">
        <f t="shared" ca="1" si="4"/>
        <v>0</v>
      </c>
      <c r="F64" s="786" t="str">
        <f t="shared" ca="1" si="5"/>
        <v>10 Feet</v>
      </c>
      <c r="G64" s="786"/>
      <c r="H64" s="786">
        <f t="shared" ca="1" si="6"/>
        <v>0</v>
      </c>
      <c r="I64" s="786"/>
      <c r="J64" s="790">
        <f t="shared" ca="1" si="7"/>
        <v>0</v>
      </c>
      <c r="K64" s="790"/>
      <c r="L64" s="790"/>
    </row>
    <row r="65" spans="1:12" x14ac:dyDescent="0.2">
      <c r="A65" s="203" t="str">
        <f t="shared" ca="1" si="0"/>
        <v>T3. Project Image</v>
      </c>
      <c r="B65" s="94">
        <f t="shared" ca="1" si="1"/>
        <v>0</v>
      </c>
      <c r="C65" s="152">
        <f t="shared" ca="1" si="2"/>
        <v>0</v>
      </c>
      <c r="D65" s="152">
        <f t="shared" ca="1" si="3"/>
        <v>0</v>
      </c>
      <c r="E65" s="152">
        <f t="shared" ca="1" si="4"/>
        <v>0</v>
      </c>
      <c r="F65" s="786" t="str">
        <f t="shared" ca="1" si="5"/>
        <v>15 Feet</v>
      </c>
      <c r="G65" s="786"/>
      <c r="H65" s="786">
        <f t="shared" ca="1" si="6"/>
        <v>0</v>
      </c>
      <c r="I65" s="786"/>
      <c r="J65" s="790">
        <f t="shared" ca="1" si="7"/>
        <v>0</v>
      </c>
      <c r="K65" s="790"/>
      <c r="L65" s="790"/>
    </row>
    <row r="66" spans="1:12" x14ac:dyDescent="0.2">
      <c r="A66" s="203" t="str">
        <f t="shared" ca="1" si="0"/>
        <v>G1. Audile Illusion</v>
      </c>
      <c r="B66" s="94">
        <f t="shared" ca="1" si="1"/>
        <v>0</v>
      </c>
      <c r="C66" s="152">
        <f t="shared" ca="1" si="2"/>
        <v>40</v>
      </c>
      <c r="D66" s="152">
        <f t="shared" ca="1" si="3"/>
        <v>6</v>
      </c>
      <c r="E66" s="152">
        <f t="shared" ca="1" si="4"/>
        <v>2</v>
      </c>
      <c r="F66" s="786" t="str">
        <f t="shared" ca="1" si="5"/>
        <v>15 Feet</v>
      </c>
      <c r="G66" s="786"/>
      <c r="H66" s="786" t="str">
        <f t="shared" ca="1" si="6"/>
        <v>10 Mins</v>
      </c>
      <c r="I66" s="786"/>
      <c r="J66" s="790">
        <f t="shared" ca="1" si="7"/>
        <v>0</v>
      </c>
      <c r="K66" s="790"/>
      <c r="L66" s="790"/>
    </row>
    <row r="67" spans="1:12" x14ac:dyDescent="0.2">
      <c r="A67" s="203" t="str">
        <f t="shared" ca="1" si="0"/>
        <v>G2. Flash of Light</v>
      </c>
      <c r="B67" s="94">
        <f t="shared" ca="1" si="1"/>
        <v>0</v>
      </c>
      <c r="C67" s="152">
        <f t="shared" ca="1" si="2"/>
        <v>30</v>
      </c>
      <c r="D67" s="152">
        <f t="shared" ca="1" si="3"/>
        <v>4.5</v>
      </c>
      <c r="E67" s="152">
        <f t="shared" ca="1" si="4"/>
        <v>1.5</v>
      </c>
      <c r="F67" s="786" t="str">
        <f t="shared" ca="1" si="5"/>
        <v>15 Feet</v>
      </c>
      <c r="G67" s="786"/>
      <c r="H67" s="786" t="str">
        <f t="shared" ca="1" si="6"/>
        <v>Immediate</v>
      </c>
      <c r="I67" s="786"/>
      <c r="J67" s="790">
        <f t="shared" ca="1" si="7"/>
        <v>0</v>
      </c>
      <c r="K67" s="790"/>
      <c r="L67" s="790"/>
    </row>
    <row r="68" spans="1:12" x14ac:dyDescent="0.2">
      <c r="A68" s="203" t="str">
        <f t="shared" ca="1" si="0"/>
        <v>G3. Illusion of Food</v>
      </c>
      <c r="B68" s="94">
        <f t="shared" ca="1" si="1"/>
        <v>0</v>
      </c>
      <c r="C68" s="152">
        <f t="shared" ca="1" si="2"/>
        <v>50</v>
      </c>
      <c r="D68" s="152">
        <f t="shared" ca="1" si="3"/>
        <v>7.5</v>
      </c>
      <c r="E68" s="152">
        <f t="shared" ca="1" si="4"/>
        <v>2.5</v>
      </c>
      <c r="F68" s="786" t="str">
        <f t="shared" ca="1" si="5"/>
        <v>15 Feet</v>
      </c>
      <c r="G68" s="786"/>
      <c r="H68" s="786" t="str">
        <f t="shared" ca="1" si="6"/>
        <v>10 Mins</v>
      </c>
      <c r="I68" s="786"/>
      <c r="J68" s="790">
        <f t="shared" ca="1" si="7"/>
        <v>0</v>
      </c>
      <c r="K68" s="790"/>
      <c r="L68" s="790"/>
    </row>
    <row r="69" spans="1:12" x14ac:dyDescent="0.2">
      <c r="A69" s="204" t="str">
        <f t="shared" ca="1" si="0"/>
        <v>G4. Invisibility</v>
      </c>
      <c r="B69" s="150">
        <f t="shared" ca="1" si="1"/>
        <v>0</v>
      </c>
      <c r="C69" s="153">
        <f t="shared" ca="1" si="2"/>
        <v>30</v>
      </c>
      <c r="D69" s="153">
        <f t="shared" ca="1" si="3"/>
        <v>4.5</v>
      </c>
      <c r="E69" s="153">
        <f t="shared" ca="1" si="4"/>
        <v>1.5</v>
      </c>
      <c r="F69" s="802" t="str">
        <f t="shared" ca="1" si="5"/>
        <v>15 Feet</v>
      </c>
      <c r="G69" s="802"/>
      <c r="H69" s="802" t="str">
        <f t="shared" ca="1" si="6"/>
        <v>5 Mins</v>
      </c>
      <c r="I69" s="802"/>
      <c r="J69" s="801">
        <f t="shared" ca="1" si="7"/>
        <v>0</v>
      </c>
      <c r="K69" s="801"/>
      <c r="L69" s="801"/>
    </row>
    <row r="70" spans="1:12" ht="7.5" customHeight="1" x14ac:dyDescent="0.2">
      <c r="A70" s="202"/>
      <c r="B70" s="202"/>
      <c r="C70" s="202"/>
      <c r="D70" s="202"/>
      <c r="E70" s="202"/>
      <c r="F70" s="202"/>
      <c r="G70" s="202"/>
      <c r="H70" s="202"/>
      <c r="I70" s="202"/>
      <c r="J70" s="202"/>
      <c r="K70" s="202"/>
      <c r="L70" s="202"/>
    </row>
    <row r="71" spans="1:12" x14ac:dyDescent="0.2">
      <c r="A71" s="189" t="str">
        <f>Skills!A1</f>
        <v>Skill</v>
      </c>
      <c r="B71" s="188" t="str">
        <f>Skills!B1</f>
        <v>Rk</v>
      </c>
      <c r="C71" s="188" t="str">
        <f>Skills!C1</f>
        <v>BC%</v>
      </c>
      <c r="D71" s="803" t="str">
        <f>Skills!D1</f>
        <v>Ability / Notes</v>
      </c>
      <c r="E71" s="804"/>
      <c r="F71" s="804"/>
      <c r="G71" s="804"/>
      <c r="H71" s="804"/>
      <c r="I71" s="804"/>
      <c r="J71" s="804"/>
      <c r="K71" s="804"/>
      <c r="L71" s="804"/>
    </row>
    <row r="72" spans="1:12" x14ac:dyDescent="0.2">
      <c r="A72" s="201" t="str">
        <f>IF(Skills!A2&lt;&gt;"",Skills!A2,"")</f>
        <v>Alchemist</v>
      </c>
      <c r="B72" s="43" t="str">
        <f>IF(Skills!B2&lt;&gt;"",Skills!B2&amp;IF(AND(Skills!B2&lt;&gt;Skills!H2,Skills!H2&gt;=0)," ("&amp;Skills!H2&amp;")",""),"")</f>
        <v>Un</v>
      </c>
      <c r="C72" s="71" t="str">
        <f>IF(Skills!C2&lt;&gt;"",Skills!C2,"")</f>
        <v/>
      </c>
      <c r="D72" s="764" t="str">
        <f>IF(Skills!D2&lt;&gt;"",Skills!D2,"")</f>
        <v/>
      </c>
      <c r="E72" s="765" t="str">
        <f>IF(Skills!E2&gt;"",Skills!E2,"")</f>
        <v/>
      </c>
      <c r="F72" s="765" t="str">
        <f>IF(Skills!I2&gt;"",Skills!I2,"")</f>
        <v/>
      </c>
      <c r="G72" s="765" t="str">
        <f>IF(Skills!L2&gt;"",Skills!L2,"")</f>
        <v/>
      </c>
      <c r="H72" s="765" t="str">
        <f>IF(Skills!M2&gt;"",Skills!M2,"")</f>
        <v/>
      </c>
      <c r="I72" s="765" t="str">
        <f>IF(Skills!N2&gt;"",Skills!N2,"")</f>
        <v/>
      </c>
      <c r="J72" s="765" t="str">
        <f>IF(Skills!O2&gt;"",Skills!O2,"")</f>
        <v/>
      </c>
      <c r="K72" s="765" t="str">
        <f>IF(Skills!P2&gt;"",Skills!P2,"")</f>
        <v/>
      </c>
      <c r="L72" s="765" t="str">
        <f>IF(Skills!Q2&gt;"",Skills!Q2,"")</f>
        <v/>
      </c>
    </row>
    <row r="73" spans="1:12" x14ac:dyDescent="0.2">
      <c r="A73" s="201" t="str">
        <f>IF(Skills!A3&lt;&gt;"",Skills!A3,"")</f>
        <v/>
      </c>
      <c r="B73" s="43" t="str">
        <f>IF(Skills!B3&lt;&gt;"",Skills!B3&amp;IF(AND(Skills!B3&lt;&gt;Skills!H3,Skills!H3&gt;=0)," ("&amp;Skills!H3&amp;")",""),"")</f>
        <v/>
      </c>
      <c r="C73" s="71" t="str">
        <f>IF(Skills!C3&lt;&gt;"",Skills!C3,"")</f>
        <v/>
      </c>
      <c r="D73" s="764" t="str">
        <f>IF(Skills!D3&lt;&gt;"",Skills!D3,"")</f>
        <v/>
      </c>
      <c r="E73" s="765" t="str">
        <f>IF(Skills!E3&gt;"",Skills!E3,"")</f>
        <v/>
      </c>
      <c r="F73" s="765" t="str">
        <f>IF(Skills!I3&gt;"",Skills!I3,"")</f>
        <v/>
      </c>
      <c r="G73" s="765" t="str">
        <f>IF(Skills!L3&gt;"",Skills!L3,"")</f>
        <v/>
      </c>
      <c r="H73" s="765" t="str">
        <f>IF(Skills!M3&gt;"",Skills!M3,"")</f>
        <v/>
      </c>
      <c r="I73" s="765" t="str">
        <f>IF(Skills!N3&gt;"",Skills!N3,"")</f>
        <v/>
      </c>
      <c r="J73" s="765" t="str">
        <f>IF(Skills!O3&gt;"",Skills!O3,"")</f>
        <v/>
      </c>
      <c r="K73" s="765" t="str">
        <f>IF(Skills!P3&gt;"",Skills!P3,"")</f>
        <v/>
      </c>
      <c r="L73" s="765" t="str">
        <f>IF(Skills!Q3&gt;"",Skills!Q3,"")</f>
        <v/>
      </c>
    </row>
    <row r="74" spans="1:12" x14ac:dyDescent="0.2">
      <c r="A74" s="201" t="str">
        <f>IF(Skills!A4&lt;&gt;"",Skills!A4,"")</f>
        <v>Armourer</v>
      </c>
      <c r="B74" s="43" t="str">
        <f>IF(Skills!B4&lt;&gt;"",Skills!B4&amp;IF(AND(Skills!B4&lt;&gt;Skills!H4,Skills!H4&gt;=0)," ("&amp;Skills!H4&amp;")",""),"")</f>
        <v>Un</v>
      </c>
      <c r="C74" s="71" t="str">
        <f>IF(Skills!C4&lt;&gt;"",Skills!C4,"")</f>
        <v/>
      </c>
      <c r="D74" s="764" t="str">
        <f>IF(Skills!D4&lt;&gt;"",Skills!D4,"")</f>
        <v>Selected categories?</v>
      </c>
      <c r="E74" s="765" t="str">
        <f>IF(Skills!E4&gt;"",Skills!E4,"")</f>
        <v/>
      </c>
      <c r="F74" s="765" t="str">
        <f>IF(Skills!I4&gt;"",Skills!I4,"")</f>
        <v/>
      </c>
      <c r="G74" s="765" t="str">
        <f>IF(Skills!L4&gt;"",Skills!L4,"")</f>
        <v/>
      </c>
      <c r="H74" s="765" t="str">
        <f>IF(Skills!M4&gt;"",Skills!M4,"")</f>
        <v/>
      </c>
      <c r="I74" s="765" t="str">
        <f>IF(Skills!N4&gt;"",Skills!N4,"")</f>
        <v/>
      </c>
      <c r="J74" s="765" t="str">
        <f>IF(Skills!O4&gt;"",Skills!O4,"")</f>
        <v/>
      </c>
      <c r="K74" s="765" t="str">
        <f>IF(Skills!P4&gt;"",Skills!P4,"")</f>
        <v/>
      </c>
      <c r="L74" s="765" t="str">
        <f>IF(Skills!Q4&gt;"",Skills!Q4,"")</f>
        <v/>
      </c>
    </row>
    <row r="75" spans="1:12" x14ac:dyDescent="0.2">
      <c r="A75" s="201" t="str">
        <f>IF(Skills!A5&lt;&gt;"",Skills!A5,"")</f>
        <v/>
      </c>
      <c r="B75" s="43" t="str">
        <f>IF(Skills!B5&lt;&gt;"",Skills!B5&amp;IF(AND(Skills!B5&lt;&gt;Skills!H5,Skills!H5&gt;=0)," ("&amp;Skills!H5&amp;")",""),"")</f>
        <v/>
      </c>
      <c r="C75" s="71" t="str">
        <f>IF(Skills!C5&lt;&gt;"",Skills!C5,"")</f>
        <v/>
      </c>
      <c r="D75" s="764" t="str">
        <f>IF(Skills!D5&lt;&gt;"",Skills!D5,"")</f>
        <v/>
      </c>
      <c r="E75" s="765" t="str">
        <f>IF(Skills!E5&gt;"",Skills!E5,"")</f>
        <v/>
      </c>
      <c r="F75" s="765" t="str">
        <f>IF(Skills!I5&gt;"",Skills!I5,"")</f>
        <v/>
      </c>
      <c r="G75" s="765" t="str">
        <f>IF(Skills!L5&gt;"",Skills!L5,"")</f>
        <v/>
      </c>
      <c r="H75" s="765" t="str">
        <f>IF(Skills!M5&gt;"",Skills!M5,"")</f>
        <v/>
      </c>
      <c r="I75" s="765" t="str">
        <f>IF(Skills!N5&gt;"",Skills!N5,"")</f>
        <v/>
      </c>
      <c r="J75" s="765" t="str">
        <f>IF(Skills!O5&gt;"",Skills!O5,"")</f>
        <v/>
      </c>
      <c r="K75" s="765" t="str">
        <f>IF(Skills!P5&gt;"",Skills!P5,"")</f>
        <v/>
      </c>
      <c r="L75" s="765" t="str">
        <f>IF(Skills!Q5&gt;"",Skills!Q5,"")</f>
        <v/>
      </c>
    </row>
    <row r="76" spans="1:12" x14ac:dyDescent="0.2">
      <c r="A76" s="201" t="str">
        <f>IF(Skills!A6&lt;&gt;"",Skills!A6,"")</f>
        <v>Assassin</v>
      </c>
      <c r="B76" s="43" t="str">
        <f>IF(Skills!B6&lt;&gt;"",Skills!B6&amp;IF(AND(Skills!B6&lt;&gt;Skills!H6,Skills!H6&gt;=0)," ("&amp;Skills!H6&amp;")",""),"")</f>
        <v>Un</v>
      </c>
      <c r="C76" s="71" t="str">
        <f>IF(Skills!C6&lt;&gt;"",Skills!C6,"")</f>
        <v/>
      </c>
      <c r="D76" s="764" t="str">
        <f>IF(Skills!D6&lt;&gt;"",Skills!D6,"")</f>
        <v/>
      </c>
      <c r="E76" s="765" t="str">
        <f>IF(Skills!E6&gt;"",Skills!E6,"")</f>
        <v/>
      </c>
      <c r="F76" s="765" t="str">
        <f>IF(Skills!I6&gt;"",Skills!I6,"")</f>
        <v/>
      </c>
      <c r="G76" s="765" t="str">
        <f>IF(Skills!L6&gt;"",Skills!L6,"")</f>
        <v/>
      </c>
      <c r="H76" s="765" t="str">
        <f>IF(Skills!M6&gt;"",Skills!M6,"")</f>
        <v/>
      </c>
      <c r="I76" s="765" t="str">
        <f>IF(Skills!N6&gt;"",Skills!N6,"")</f>
        <v/>
      </c>
      <c r="J76" s="765" t="str">
        <f>IF(Skills!O6&gt;"",Skills!O6,"")</f>
        <v/>
      </c>
      <c r="K76" s="765" t="str">
        <f>IF(Skills!P6&gt;"",Skills!P6,"")</f>
        <v/>
      </c>
      <c r="L76" s="765" t="str">
        <f>IF(Skills!Q6&gt;"",Skills!Q6,"")</f>
        <v/>
      </c>
    </row>
    <row r="77" spans="1:12" x14ac:dyDescent="0.2">
      <c r="A77" s="201" t="str">
        <f>IF(Skills!A7&lt;&gt;"",Skills!A7,"")</f>
        <v/>
      </c>
      <c r="B77" s="43" t="str">
        <f>IF(Skills!B7&lt;&gt;"",Skills!B7&amp;IF(AND(Skills!B7&lt;&gt;Skills!H7,Skills!H7&gt;=0)," ("&amp;Skills!H7&amp;")",""),"")</f>
        <v/>
      </c>
      <c r="C77" s="71" t="str">
        <f>IF(Skills!C7&lt;&gt;"",Skills!C7,"")</f>
        <v/>
      </c>
      <c r="D77" s="764" t="str">
        <f>IF(Skills!D7&lt;&gt;"",Skills!D7,"")</f>
        <v/>
      </c>
      <c r="E77" s="765" t="str">
        <f>IF(Skills!E7&gt;"",Skills!E7,"")</f>
        <v/>
      </c>
      <c r="F77" s="765" t="str">
        <f>IF(Skills!I7&gt;"",Skills!I7,"")</f>
        <v/>
      </c>
      <c r="G77" s="765" t="str">
        <f>IF(Skills!L7&gt;"",Skills!L7,"")</f>
        <v/>
      </c>
      <c r="H77" s="765" t="str">
        <f>IF(Skills!M7&gt;"",Skills!M7,"")</f>
        <v/>
      </c>
      <c r="I77" s="765" t="str">
        <f>IF(Skills!N7&gt;"",Skills!N7,"")</f>
        <v/>
      </c>
      <c r="J77" s="765" t="str">
        <f>IF(Skills!O7&gt;"",Skills!O7,"")</f>
        <v/>
      </c>
      <c r="K77" s="765" t="str">
        <f>IF(Skills!P7&gt;"",Skills!P7,"")</f>
        <v/>
      </c>
      <c r="L77" s="765" t="str">
        <f>IF(Skills!Q7&gt;"",Skills!Q7,"")</f>
        <v/>
      </c>
    </row>
    <row r="78" spans="1:12" x14ac:dyDescent="0.2">
      <c r="A78" s="201" t="str">
        <f>IF(Skills!A8&lt;&gt;"",Skills!A8,"")</f>
        <v>Astrologer</v>
      </c>
      <c r="B78" s="43" t="str">
        <f>IF(Skills!B8&lt;&gt;"",Skills!B8&amp;IF(AND(Skills!B8&lt;&gt;Skills!H8,Skills!H8&gt;=0)," ("&amp;Skills!H8&amp;")",""),"")</f>
        <v>Un</v>
      </c>
      <c r="C78" s="71" t="str">
        <f>IF(Skills!C8&lt;&gt;"",Skills!C8,"")</f>
        <v/>
      </c>
      <c r="D78" s="764" t="str">
        <f>IF(Skills!D8&lt;&gt;"",Skills!D8,"")</f>
        <v/>
      </c>
      <c r="E78" s="765" t="str">
        <f>IF(Skills!E8&gt;"",Skills!E8,"")</f>
        <v/>
      </c>
      <c r="F78" s="765" t="str">
        <f>IF(Skills!I8&gt;"",Skills!I8,"")</f>
        <v/>
      </c>
      <c r="G78" s="765" t="str">
        <f>IF(Skills!L8&gt;"",Skills!L8,"")</f>
        <v/>
      </c>
      <c r="H78" s="765" t="str">
        <f>IF(Skills!M8&gt;"",Skills!M8,"")</f>
        <v/>
      </c>
      <c r="I78" s="765" t="str">
        <f>IF(Skills!N8&gt;"",Skills!N8,"")</f>
        <v/>
      </c>
      <c r="J78" s="765" t="str">
        <f>IF(Skills!O8&gt;"",Skills!O8,"")</f>
        <v/>
      </c>
      <c r="K78" s="765" t="str">
        <f>IF(Skills!P8&gt;"",Skills!P8,"")</f>
        <v/>
      </c>
      <c r="L78" s="765" t="str">
        <f>IF(Skills!Q8&gt;"",Skills!Q8,"")</f>
        <v/>
      </c>
    </row>
    <row r="79" spans="1:12" x14ac:dyDescent="0.2">
      <c r="A79" s="201" t="str">
        <f>IF(Skills!A9&lt;&gt;"",Skills!A9,"")</f>
        <v/>
      </c>
      <c r="B79" s="43" t="str">
        <f>IF(Skills!B9&lt;&gt;"",Skills!B9&amp;IF(AND(Skills!B9&lt;&gt;Skills!H9,Skills!H9&gt;=0)," ("&amp;Skills!H9&amp;")",""),"")</f>
        <v/>
      </c>
      <c r="C79" s="71" t="str">
        <f>IF(Skills!C9&lt;&gt;"",Skills!C9,"")</f>
        <v/>
      </c>
      <c r="D79" s="764" t="str">
        <f>IF(Skills!D9&lt;&gt;"",Skills!D9,"")</f>
        <v/>
      </c>
      <c r="E79" s="765" t="str">
        <f>IF(Skills!E9&gt;"",Skills!E9,"")</f>
        <v/>
      </c>
      <c r="F79" s="765" t="str">
        <f>IF(Skills!I9&gt;"",Skills!I9,"")</f>
        <v/>
      </c>
      <c r="G79" s="765" t="str">
        <f>IF(Skills!L9&gt;"",Skills!L9,"")</f>
        <v/>
      </c>
      <c r="H79" s="765" t="str">
        <f>IF(Skills!M9&gt;"",Skills!M9,"")</f>
        <v/>
      </c>
      <c r="I79" s="765" t="str">
        <f>IF(Skills!N9&gt;"",Skills!N9,"")</f>
        <v/>
      </c>
      <c r="J79" s="765" t="str">
        <f>IF(Skills!O9&gt;"",Skills!O9,"")</f>
        <v/>
      </c>
      <c r="K79" s="765" t="str">
        <f>IF(Skills!P9&gt;"",Skills!P9,"")</f>
        <v/>
      </c>
      <c r="L79" s="765" t="str">
        <f>IF(Skills!Q9&gt;"",Skills!Q9,"")</f>
        <v/>
      </c>
    </row>
    <row r="80" spans="1:12" x14ac:dyDescent="0.2">
      <c r="A80" s="201" t="str">
        <f>IF(Skills!A10&lt;&gt;"",Skills!A10,"")</f>
        <v>Beastmaster</v>
      </c>
      <c r="B80" s="43" t="str">
        <f>IF(Skills!B10&lt;&gt;"",Skills!B10&amp;IF(AND(Skills!B10&lt;&gt;Skills!H10,Skills!H10&gt;=0)," ("&amp;Skills!H10&amp;")",""),"")</f>
        <v>Un</v>
      </c>
      <c r="C80" s="71" t="str">
        <f>IF(Skills!C10&lt;&gt;"",Skills!C10,"")</f>
        <v/>
      </c>
      <c r="D80" s="764" t="str">
        <f>IF(Skills!D10&lt;&gt;"",Skills!D10,"")</f>
        <v>Selected Animal Types?</v>
      </c>
      <c r="E80" s="765" t="str">
        <f>IF(Skills!E10&gt;"",Skills!E10,"")</f>
        <v/>
      </c>
      <c r="F80" s="765" t="str">
        <f>IF(Skills!I10&gt;"",Skills!I10,"")</f>
        <v/>
      </c>
      <c r="G80" s="765" t="str">
        <f>IF(Skills!L10&gt;"",Skills!L10,"")</f>
        <v/>
      </c>
      <c r="H80" s="765" t="str">
        <f>IF(Skills!M10&gt;"",Skills!M10,"")</f>
        <v/>
      </c>
      <c r="I80" s="765" t="str">
        <f>IF(Skills!N10&gt;"",Skills!N10,"")</f>
        <v/>
      </c>
      <c r="J80" s="765" t="str">
        <f>IF(Skills!O10&gt;"",Skills!O10,"")</f>
        <v/>
      </c>
      <c r="K80" s="765" t="str">
        <f>IF(Skills!P10&gt;"",Skills!P10,"")</f>
        <v/>
      </c>
      <c r="L80" s="765" t="str">
        <f>IF(Skills!Q10&gt;"",Skills!Q10,"")</f>
        <v/>
      </c>
    </row>
    <row r="81" spans="1:12" x14ac:dyDescent="0.2">
      <c r="A81" s="201" t="str">
        <f>IF(Skills!A11&lt;&gt;"",Skills!A11,"")</f>
        <v/>
      </c>
      <c r="B81" s="43" t="str">
        <f>IF(Skills!B11&lt;&gt;"",Skills!B11&amp;IF(AND(Skills!B11&lt;&gt;Skills!H11,Skills!H11&gt;=0)," ("&amp;Skills!H11&amp;")",""),"")</f>
        <v/>
      </c>
      <c r="C81" s="71" t="str">
        <f>IF(Skills!C11&lt;&gt;"",Skills!C11,"")</f>
        <v/>
      </c>
      <c r="D81" s="764" t="str">
        <f>IF(Skills!D11&lt;&gt;"",Skills!D11,"")</f>
        <v/>
      </c>
      <c r="E81" s="765" t="str">
        <f>IF(Skills!E11&gt;"",Skills!E11,"")</f>
        <v/>
      </c>
      <c r="F81" s="765" t="str">
        <f>IF(Skills!I11&gt;"",Skills!I11,"")</f>
        <v/>
      </c>
      <c r="G81" s="765" t="str">
        <f>IF(Skills!L11&gt;"",Skills!L11,"")</f>
        <v/>
      </c>
      <c r="H81" s="765" t="str">
        <f>IF(Skills!M11&gt;"",Skills!M11,"")</f>
        <v/>
      </c>
      <c r="I81" s="765" t="str">
        <f>IF(Skills!N11&gt;"",Skills!N11,"")</f>
        <v/>
      </c>
      <c r="J81" s="765" t="str">
        <f>IF(Skills!O11&gt;"",Skills!O11,"")</f>
        <v/>
      </c>
      <c r="K81" s="765" t="str">
        <f>IF(Skills!P11&gt;"",Skills!P11,"")</f>
        <v/>
      </c>
      <c r="L81" s="765" t="str">
        <f>IF(Skills!Q11&gt;"",Skills!Q11,"")</f>
        <v/>
      </c>
    </row>
    <row r="82" spans="1:12" x14ac:dyDescent="0.2">
      <c r="A82" s="250" t="str">
        <f>IF(Skills!A12&lt;&gt;"",Skills!A12,"")</f>
        <v>Courtier</v>
      </c>
      <c r="B82" s="43" t="str">
        <f>IF(Skills!B12&lt;&gt;"",Skills!B12&amp;IF(AND(Skills!B12&lt;&gt;Skills!H12,Skills!H12&gt;=0)," ("&amp;Skills!H12&amp;")",""),"")</f>
        <v>Un</v>
      </c>
      <c r="C82" s="71" t="str">
        <f>IF(Skills!C12&lt;&gt;"",Skills!C12,"")</f>
        <v/>
      </c>
      <c r="D82" s="764" t="str">
        <f>IF(Skills!D12&lt;&gt;"",Skills!D12,"")</f>
        <v>Selected abilities?</v>
      </c>
      <c r="E82" s="764" t="str">
        <f>IF(Skills!E12&gt;"",Skills!E12,"")</f>
        <v/>
      </c>
      <c r="F82" s="764" t="str">
        <f>IF(Skills!I12&gt;"",Skills!I12,"")</f>
        <v/>
      </c>
      <c r="G82" s="764" t="str">
        <f>IF(Skills!L12&gt;"",Skills!L12,"")</f>
        <v/>
      </c>
      <c r="H82" s="764" t="str">
        <f>IF(Skills!M12&gt;"",Skills!M12,"")</f>
        <v/>
      </c>
      <c r="I82" s="764" t="str">
        <f>IF(Skills!N12&gt;"",Skills!N12,"")</f>
        <v/>
      </c>
      <c r="J82" s="764" t="str">
        <f>IF(Skills!O12&gt;"",Skills!O12,"")</f>
        <v/>
      </c>
      <c r="K82" s="764" t="str">
        <f>IF(Skills!P12&gt;"",Skills!P12,"")</f>
        <v/>
      </c>
      <c r="L82" s="764" t="str">
        <f>IF(Skills!Q12&gt;"",Skills!Q12,"")</f>
        <v/>
      </c>
    </row>
    <row r="83" spans="1:12" x14ac:dyDescent="0.2">
      <c r="A83" s="250" t="str">
        <f>IF(Skills!A13&lt;&gt;"",Skills!A13,"")</f>
        <v/>
      </c>
      <c r="B83" s="43" t="str">
        <f>IF(Skills!B13&lt;&gt;"",Skills!B13&amp;IF(AND(Skills!B13&lt;&gt;Skills!H13,Skills!H13&gt;=0)," ("&amp;Skills!H13&amp;")",""),"")</f>
        <v/>
      </c>
      <c r="C83" s="71" t="str">
        <f>IF(Skills!C13&lt;&gt;"",Skills!C13,"")</f>
        <v/>
      </c>
      <c r="D83" s="764" t="str">
        <f>IF(Skills!D13&lt;&gt;"",Skills!D13,"")</f>
        <v/>
      </c>
      <c r="E83" s="765" t="str">
        <f>IF(Skills!E13&gt;"",Skills!E13,"")</f>
        <v/>
      </c>
      <c r="F83" s="765" t="str">
        <f>IF(Skills!I13&gt;"",Skills!I13,"")</f>
        <v/>
      </c>
      <c r="G83" s="765" t="str">
        <f>IF(Skills!L13&gt;"",Skills!L13,"")</f>
        <v/>
      </c>
      <c r="H83" s="765" t="str">
        <f>IF(Skills!M13&gt;"",Skills!M13,"")</f>
        <v/>
      </c>
      <c r="I83" s="765" t="str">
        <f>IF(Skills!N13&gt;"",Skills!N13,"")</f>
        <v/>
      </c>
      <c r="J83" s="765" t="str">
        <f>IF(Skills!O13&gt;"",Skills!O13,"")</f>
        <v/>
      </c>
      <c r="K83" s="765" t="str">
        <f>IF(Skills!P13&gt;"",Skills!P13,"")</f>
        <v/>
      </c>
      <c r="L83" s="765" t="str">
        <f>IF(Skills!Q13&gt;"",Skills!Q13,"")</f>
        <v/>
      </c>
    </row>
    <row r="84" spans="1:12" x14ac:dyDescent="0.2">
      <c r="A84" s="250" t="str">
        <f>IF(Skills!A14&lt;&gt;"",Skills!A14,"")</f>
        <v>Healer</v>
      </c>
      <c r="B84" s="43" t="str">
        <f>IF(Skills!B14&lt;&gt;"",Skills!B14&amp;IF(AND(Skills!B14&lt;&gt;Skills!H14,Skills!H14&gt;=0)," ("&amp;Skills!H14&amp;")",""),"")</f>
        <v>Un</v>
      </c>
      <c r="C84" s="71" t="str">
        <f>IF(Skills!C14&lt;&gt;"",Skills!C14,"")</f>
        <v/>
      </c>
      <c r="D84" s="764" t="str">
        <f>IF(Skills!D14&lt;&gt;"",Skills!D14,"")</f>
        <v/>
      </c>
      <c r="E84" s="765" t="str">
        <f>IF(Skills!E14&gt;"",Skills!E14,"")</f>
        <v/>
      </c>
      <c r="F84" s="765" t="str">
        <f>IF(Skills!I14&gt;"",Skills!I14,"")</f>
        <v/>
      </c>
      <c r="G84" s="765" t="str">
        <f>IF(Skills!L14&gt;"",Skills!L14,"")</f>
        <v/>
      </c>
      <c r="H84" s="765" t="str">
        <f>IF(Skills!M14&gt;"",Skills!M14,"")</f>
        <v/>
      </c>
      <c r="I84" s="765" t="str">
        <f>IF(Skills!N14&gt;"",Skills!N14,"")</f>
        <v/>
      </c>
      <c r="J84" s="765" t="str">
        <f>IF(Skills!O14&gt;"",Skills!O14,"")</f>
        <v/>
      </c>
      <c r="K84" s="765" t="str">
        <f>IF(Skills!P14&gt;"",Skills!P14,"")</f>
        <v/>
      </c>
      <c r="L84" s="765" t="str">
        <f>IF(Skills!Q14&gt;"",Skills!Q14,"")</f>
        <v/>
      </c>
    </row>
    <row r="85" spans="1:12" x14ac:dyDescent="0.2">
      <c r="A85" s="250" t="str">
        <f>IF(Skills!A15&lt;&gt;"",Skills!A15,"")</f>
        <v/>
      </c>
      <c r="B85" s="43" t="str">
        <f>IF(Skills!B15&lt;&gt;"",Skills!B15&amp;IF(AND(Skills!B15&lt;&gt;Skills!H15,Skills!H15&gt;=0)," ("&amp;Skills!H15&amp;")",""),"")</f>
        <v/>
      </c>
      <c r="C85" s="71" t="str">
        <f>IF(Skills!C15&lt;&gt;"",Skills!C15,"")</f>
        <v/>
      </c>
      <c r="D85" s="764" t="str">
        <f>IF(Skills!D15&lt;&gt;"",Skills!D15,"")</f>
        <v/>
      </c>
      <c r="E85" s="765" t="str">
        <f>IF(Skills!E15&gt;"",Skills!E15,"")</f>
        <v/>
      </c>
      <c r="F85" s="765" t="str">
        <f>IF(Skills!I15&gt;"",Skills!I15,"")</f>
        <v/>
      </c>
      <c r="G85" s="765" t="str">
        <f>IF(Skills!L15&gt;"",Skills!L15,"")</f>
        <v/>
      </c>
      <c r="H85" s="765" t="str">
        <f>IF(Skills!M15&gt;"",Skills!M15,"")</f>
        <v/>
      </c>
      <c r="I85" s="765" t="str">
        <f>IF(Skills!N15&gt;"",Skills!N15,"")</f>
        <v/>
      </c>
      <c r="J85" s="765" t="str">
        <f>IF(Skills!O15&gt;"",Skills!O15,"")</f>
        <v/>
      </c>
      <c r="K85" s="765" t="str">
        <f>IF(Skills!P15&gt;"",Skills!P15,"")</f>
        <v/>
      </c>
      <c r="L85" s="765" t="str">
        <f>IF(Skills!Q15&gt;"",Skills!Q15,"")</f>
        <v/>
      </c>
    </row>
    <row r="86" spans="1:12" x14ac:dyDescent="0.2">
      <c r="A86" s="250" t="str">
        <f>IF(Skills!A16&lt;&gt;"",Skills!A16,"")</f>
        <v/>
      </c>
      <c r="B86" s="43" t="str">
        <f>IF(Skills!B16&lt;&gt;"",Skills!B16&amp;IF(AND(Skills!B16&lt;&gt;Skills!H16,Skills!H16&gt;=0)," ("&amp;Skills!H16&amp;")",""),"")</f>
        <v/>
      </c>
      <c r="C86" s="71" t="str">
        <f>IF(Skills!C16&lt;&gt;"",Skills!C16,"")</f>
        <v/>
      </c>
      <c r="D86" s="764" t="str">
        <f>IF(Skills!D16&lt;&gt;"",Skills!D16,"")</f>
        <v/>
      </c>
      <c r="E86" s="765" t="str">
        <f>IF(Skills!E16&gt;"",Skills!E16,"")</f>
        <v/>
      </c>
      <c r="F86" s="765" t="str">
        <f>IF(Skills!I16&gt;"",Skills!I16,"")</f>
        <v/>
      </c>
      <c r="G86" s="765" t="str">
        <f>IF(Skills!L16&gt;"",Skills!L16,"")</f>
        <v/>
      </c>
      <c r="H86" s="765" t="str">
        <f>IF(Skills!M16&gt;"",Skills!M16,"")</f>
        <v/>
      </c>
      <c r="I86" s="765" t="str">
        <f>IF(Skills!N16&gt;"",Skills!N16,"")</f>
        <v/>
      </c>
      <c r="J86" s="765" t="str">
        <f>IF(Skills!O16&gt;"",Skills!O16,"")</f>
        <v/>
      </c>
      <c r="K86" s="765" t="str">
        <f>IF(Skills!P16&gt;"",Skills!P16,"")</f>
        <v/>
      </c>
      <c r="L86" s="765" t="str">
        <f>IF(Skills!Q16&gt;"",Skills!Q16,"")</f>
        <v/>
      </c>
    </row>
    <row r="87" spans="1:12" x14ac:dyDescent="0.2">
      <c r="A87" s="250" t="str">
        <f>IF(Skills!A17&lt;&gt;"",Skills!A17,"")</f>
        <v>Herbalist</v>
      </c>
      <c r="B87" s="43" t="str">
        <f>IF(Skills!B17&lt;&gt;"",Skills!B17&amp;IF(AND(Skills!B17&lt;&gt;Skills!H17,Skills!H17&gt;=0)," ("&amp;Skills!H17&amp;")",""),"")</f>
        <v>Un</v>
      </c>
      <c r="C87" s="71" t="str">
        <f>IF(Skills!C17&lt;&gt;"",Skills!C17,"")</f>
        <v/>
      </c>
      <c r="D87" s="764" t="str">
        <f>IF(Skills!D17&lt;&gt;"",Skills!D17,"")</f>
        <v/>
      </c>
      <c r="E87" s="765" t="str">
        <f>IF(Skills!E17&gt;"",Skills!E17,"")</f>
        <v/>
      </c>
      <c r="F87" s="765" t="str">
        <f>IF(Skills!I17&gt;"",Skills!I17,"")</f>
        <v/>
      </c>
      <c r="G87" s="765" t="str">
        <f>IF(Skills!L17&gt;"",Skills!L17,"")</f>
        <v/>
      </c>
      <c r="H87" s="765" t="str">
        <f>IF(Skills!M17&gt;"",Skills!M17,"")</f>
        <v/>
      </c>
      <c r="I87" s="765" t="str">
        <f>IF(Skills!N17&gt;"",Skills!N17,"")</f>
        <v/>
      </c>
      <c r="J87" s="765" t="str">
        <f>IF(Skills!O17&gt;"",Skills!O17,"")</f>
        <v/>
      </c>
      <c r="K87" s="765" t="str">
        <f>IF(Skills!P17&gt;"",Skills!P17,"")</f>
        <v/>
      </c>
      <c r="L87" s="765" t="str">
        <f>IF(Skills!Q17&gt;"",Skills!Q17,"")</f>
        <v/>
      </c>
    </row>
    <row r="88" spans="1:12" x14ac:dyDescent="0.2">
      <c r="A88" s="250" t="str">
        <f>IF(Skills!A18&lt;&gt;"",Skills!A18,"")</f>
        <v/>
      </c>
      <c r="B88" s="43" t="str">
        <f>IF(Skills!B18&lt;&gt;"",Skills!B18&amp;IF(AND(Skills!B18&lt;&gt;Skills!H18,Skills!H18&gt;=0)," ("&amp;Skills!H18&amp;")",""),"")</f>
        <v/>
      </c>
      <c r="C88" s="71" t="str">
        <f>IF(Skills!C18&lt;&gt;"",Skills!C18,"")</f>
        <v/>
      </c>
      <c r="D88" s="764" t="str">
        <f>IF(Skills!D18&lt;&gt;"",Skills!D18,"")</f>
        <v/>
      </c>
      <c r="E88" s="765" t="str">
        <f>IF(Skills!E18&gt;"",Skills!E18,"")</f>
        <v/>
      </c>
      <c r="F88" s="765" t="str">
        <f>IF(Skills!I18&gt;"",Skills!I18,"")</f>
        <v/>
      </c>
      <c r="G88" s="765" t="str">
        <f>IF(Skills!L18&gt;"",Skills!L18,"")</f>
        <v/>
      </c>
      <c r="H88" s="765" t="str">
        <f>IF(Skills!M18&gt;"",Skills!M18,"")</f>
        <v/>
      </c>
      <c r="I88" s="765" t="str">
        <f>IF(Skills!N18&gt;"",Skills!N18,"")</f>
        <v/>
      </c>
      <c r="J88" s="765" t="str">
        <f>IF(Skills!O18&gt;"",Skills!O18,"")</f>
        <v/>
      </c>
      <c r="K88" s="765" t="str">
        <f>IF(Skills!P18&gt;"",Skills!P18,"")</f>
        <v/>
      </c>
      <c r="L88" s="765" t="str">
        <f>IF(Skills!Q18&gt;"",Skills!Q18,"")</f>
        <v/>
      </c>
    </row>
    <row r="89" spans="1:12" x14ac:dyDescent="0.2">
      <c r="A89" s="250" t="str">
        <f>IF(Skills!A19&lt;&gt;"",Skills!A19,"")</f>
        <v>Mechanician</v>
      </c>
      <c r="B89" s="43" t="str">
        <f>IF(Skills!B19&lt;&gt;"",Skills!B19&amp;IF(AND(Skills!B19&lt;&gt;Skills!H19,Skills!H19&gt;=0)," ("&amp;Skills!H19&amp;")",""),"")</f>
        <v>Un</v>
      </c>
      <c r="C89" s="71" t="str">
        <f>IF(Skills!C19&lt;&gt;"",Skills!C19,"")</f>
        <v/>
      </c>
      <c r="D89" s="764" t="str">
        <f>IF(Skills!D19&lt;&gt;"",Skills!D19,"")</f>
        <v/>
      </c>
      <c r="E89" s="765" t="str">
        <f>IF(Skills!E19&gt;"",Skills!E19,"")</f>
        <v/>
      </c>
      <c r="F89" s="765" t="str">
        <f>IF(Skills!I19&gt;"",Skills!I19,"")</f>
        <v/>
      </c>
      <c r="G89" s="765" t="str">
        <f>IF(Skills!L19&gt;"",Skills!L19,"")</f>
        <v/>
      </c>
      <c r="H89" s="765" t="str">
        <f>IF(Skills!M19&gt;"",Skills!M19,"")</f>
        <v/>
      </c>
      <c r="I89" s="765" t="str">
        <f>IF(Skills!N19&gt;"",Skills!N19,"")</f>
        <v/>
      </c>
      <c r="J89" s="765" t="str">
        <f>IF(Skills!O19&gt;"",Skills!O19,"")</f>
        <v/>
      </c>
      <c r="K89" s="765" t="str">
        <f>IF(Skills!P19&gt;"",Skills!P19,"")</f>
        <v/>
      </c>
      <c r="L89" s="765" t="str">
        <f>IF(Skills!Q19&gt;"",Skills!Q19,"")</f>
        <v/>
      </c>
    </row>
    <row r="90" spans="1:12" x14ac:dyDescent="0.2">
      <c r="A90" s="250" t="str">
        <f>IF(Skills!A20&lt;&gt;"",Skills!A20,"")</f>
        <v/>
      </c>
      <c r="B90" s="43" t="str">
        <f>IF(Skills!B20&lt;&gt;"",Skills!B20&amp;IF(AND(Skills!B20&lt;&gt;Skills!H20,Skills!H20&gt;=0)," ("&amp;Skills!H20&amp;")",""),"")</f>
        <v/>
      </c>
      <c r="C90" s="71" t="str">
        <f>IF(Skills!C20&lt;&gt;"",Skills!C20,"")</f>
        <v/>
      </c>
      <c r="D90" s="764" t="str">
        <f>IF(Skills!D20&lt;&gt;"",Skills!D20,"")</f>
        <v/>
      </c>
      <c r="E90" s="765" t="str">
        <f>IF(Skills!E20&gt;"",Skills!E20,"")</f>
        <v/>
      </c>
      <c r="F90" s="765" t="str">
        <f>IF(Skills!I20&gt;"",Skills!I20,"")</f>
        <v/>
      </c>
      <c r="G90" s="765" t="str">
        <f>IF(Skills!L20&gt;"",Skills!L20,"")</f>
        <v/>
      </c>
      <c r="H90" s="765" t="str">
        <f>IF(Skills!M20&gt;"",Skills!M20,"")</f>
        <v/>
      </c>
      <c r="I90" s="765" t="str">
        <f>IF(Skills!N20&gt;"",Skills!N20,"")</f>
        <v/>
      </c>
      <c r="J90" s="765" t="str">
        <f>IF(Skills!O20&gt;"",Skills!O20,"")</f>
        <v/>
      </c>
      <c r="K90" s="765" t="str">
        <f>IF(Skills!P20&gt;"",Skills!P20,"")</f>
        <v/>
      </c>
      <c r="L90" s="765" t="str">
        <f>IF(Skills!Q20&gt;"",Skills!Q20,"")</f>
        <v/>
      </c>
    </row>
    <row r="91" spans="1:12" x14ac:dyDescent="0.2">
      <c r="A91" s="250" t="str">
        <f>IF(Skills!A21&lt;&gt;"",Skills!A21,"")</f>
        <v>Merchant</v>
      </c>
      <c r="B91" s="43" t="str">
        <f>IF(Skills!B21&lt;&gt;"",Skills!B21&amp;IF(AND(Skills!B21&lt;&gt;Skills!H21,Skills!H21&gt;=0)," ("&amp;Skills!H21&amp;")",""),"")</f>
        <v>Un</v>
      </c>
      <c r="C91" s="71" t="str">
        <f>IF(Skills!C21&lt;&gt;"",Skills!C21,"")</f>
        <v/>
      </c>
      <c r="D91" s="764" t="str">
        <f>IF(Skills!D21&lt;&gt;"",Skills!D21,"")</f>
        <v/>
      </c>
      <c r="E91" s="765" t="str">
        <f>IF(Skills!E21&gt;"",Skills!E21,"")</f>
        <v/>
      </c>
      <c r="F91" s="765" t="str">
        <f>IF(Skills!I21&gt;"",Skills!I21,"")</f>
        <v/>
      </c>
      <c r="G91" s="765" t="str">
        <f>IF(Skills!L21&gt;"",Skills!L21,"")</f>
        <v/>
      </c>
      <c r="H91" s="765" t="str">
        <f>IF(Skills!M21&gt;"",Skills!M21,"")</f>
        <v/>
      </c>
      <c r="I91" s="765" t="str">
        <f>IF(Skills!N21&gt;"",Skills!N21,"")</f>
        <v/>
      </c>
      <c r="J91" s="765" t="str">
        <f>IF(Skills!O21&gt;"",Skills!O21,"")</f>
        <v/>
      </c>
      <c r="K91" s="765" t="str">
        <f>IF(Skills!P21&gt;"",Skills!P21,"")</f>
        <v/>
      </c>
      <c r="L91" s="765" t="str">
        <f>IF(Skills!Q21&gt;"",Skills!Q21,"")</f>
        <v/>
      </c>
    </row>
    <row r="92" spans="1:12" x14ac:dyDescent="0.2">
      <c r="A92" s="250" t="str">
        <f>IF(Skills!A22&lt;&gt;"",Skills!A22,"")</f>
        <v/>
      </c>
      <c r="B92" s="43" t="str">
        <f>IF(Skills!B22&lt;&gt;"",Skills!B22&amp;IF(AND(Skills!B22&lt;&gt;Skills!H22,Skills!H22&gt;=0)," ("&amp;Skills!H22&amp;")",""),"")</f>
        <v/>
      </c>
      <c r="C92" s="71">
        <f>IF(Skills!C22&lt;&gt;"",Skills!C22,"")</f>
        <v>-7</v>
      </c>
      <c r="D92" s="764" t="str">
        <f>IF(Skills!D22&lt;&gt;"",Skills!D22,"")</f>
        <v>Assay: Common</v>
      </c>
      <c r="E92" s="765" t="str">
        <f>IF(Skills!E22&gt;"",Skills!E22,"")</f>
        <v/>
      </c>
      <c r="F92" s="765" t="str">
        <f>IF(Skills!I22&gt;"",Skills!I22,"")</f>
        <v/>
      </c>
      <c r="G92" s="765" t="str">
        <f>IF(Skills!L22&gt;"",Skills!L22,"")</f>
        <v/>
      </c>
      <c r="H92" s="765" t="str">
        <f>IF(Skills!M22&gt;"",Skills!M22,"")</f>
        <v/>
      </c>
      <c r="I92" s="765" t="str">
        <f>IF(Skills!N22&gt;"",Skills!N22,"")</f>
        <v/>
      </c>
      <c r="J92" s="765" t="str">
        <f>IF(Skills!O22&gt;"",Skills!O22,"")</f>
        <v/>
      </c>
      <c r="K92" s="765" t="str">
        <f>IF(Skills!P22&gt;"",Skills!P22,"")</f>
        <v/>
      </c>
      <c r="L92" s="765" t="str">
        <f>IF(Skills!Q22&gt;"",Skills!Q22,"")</f>
        <v/>
      </c>
    </row>
    <row r="93" spans="1:12" x14ac:dyDescent="0.2">
      <c r="A93" s="250" t="str">
        <f>IF(Skills!A23&lt;&gt;"",Skills!A23,"")</f>
        <v/>
      </c>
      <c r="B93" s="43" t="str">
        <f>IF(Skills!B23&lt;&gt;"",Skills!B23&amp;IF(AND(Skills!B23&lt;&gt;Skills!H23,Skills!H23&gt;=0)," ("&amp;Skills!H23&amp;")",""),"")</f>
        <v/>
      </c>
      <c r="C93" s="71">
        <f>IF(Skills!C23&lt;&gt;"",Skills!C23,"")</f>
        <v>-4</v>
      </c>
      <c r="D93" s="764" t="str">
        <f>IF(Skills!D23&lt;&gt;"",Skills!D23,"")</f>
        <v>Uncommon</v>
      </c>
      <c r="E93" s="765" t="str">
        <f>IF(Skills!E23&gt;"",Skills!E23,"")</f>
        <v/>
      </c>
      <c r="F93" s="765" t="str">
        <f>IF(Skills!I23&gt;"",Skills!I23,"")</f>
        <v/>
      </c>
      <c r="G93" s="765" t="str">
        <f>IF(Skills!L23&gt;"",Skills!L23,"")</f>
        <v/>
      </c>
      <c r="H93" s="765" t="str">
        <f>IF(Skills!M23&gt;"",Skills!M23,"")</f>
        <v/>
      </c>
      <c r="I93" s="765" t="str">
        <f>IF(Skills!N23&gt;"",Skills!N23,"")</f>
        <v/>
      </c>
      <c r="J93" s="765" t="str">
        <f>IF(Skills!O23&gt;"",Skills!O23,"")</f>
        <v/>
      </c>
      <c r="K93" s="765" t="str">
        <f>IF(Skills!P23&gt;"",Skills!P23,"")</f>
        <v/>
      </c>
      <c r="L93" s="765" t="str">
        <f>IF(Skills!Q23&gt;"",Skills!Q23,"")</f>
        <v/>
      </c>
    </row>
    <row r="94" spans="1:12" x14ac:dyDescent="0.2">
      <c r="A94" s="250" t="str">
        <f>IF(Skills!A24&lt;&gt;"",Skills!A24,"")</f>
        <v/>
      </c>
      <c r="B94" s="43" t="str">
        <f>IF(Skills!B24&lt;&gt;"",Skills!B24&amp;IF(AND(Skills!B24&lt;&gt;Skills!H24,Skills!H24&gt;=0)," ("&amp;Skills!H24&amp;")",""),"")</f>
        <v/>
      </c>
      <c r="C94" s="71">
        <f>IF(Skills!C24&lt;&gt;"",Skills!C24,"")</f>
        <v>-1</v>
      </c>
      <c r="D94" s="764" t="str">
        <f>IF(Skills!D24&lt;&gt;"",Skills!D24,"")</f>
        <v>Rare/Costly</v>
      </c>
      <c r="E94" s="765" t="str">
        <f>IF(Skills!E24&gt;"",Skills!E24,"")</f>
        <v/>
      </c>
      <c r="F94" s="765" t="str">
        <f>IF(Skills!I24&gt;"",Skills!I24,"")</f>
        <v/>
      </c>
      <c r="G94" s="765" t="str">
        <f>IF(Skills!L24&gt;"",Skills!L24,"")</f>
        <v/>
      </c>
      <c r="H94" s="765" t="str">
        <f>IF(Skills!M24&gt;"",Skills!M24,"")</f>
        <v/>
      </c>
      <c r="I94" s="765" t="str">
        <f>IF(Skills!N24&gt;"",Skills!N24,"")</f>
        <v/>
      </c>
      <c r="J94" s="765" t="str">
        <f>IF(Skills!O24&gt;"",Skills!O24,"")</f>
        <v/>
      </c>
      <c r="K94" s="765" t="str">
        <f>IF(Skills!P24&gt;"",Skills!P24,"")</f>
        <v/>
      </c>
      <c r="L94" s="765" t="str">
        <f>IF(Skills!Q24&gt;"",Skills!Q24,"")</f>
        <v/>
      </c>
    </row>
    <row r="95" spans="1:12" x14ac:dyDescent="0.2">
      <c r="A95" s="250" t="str">
        <f>IF(Skills!A25&lt;&gt;"",Skills!A25,"")</f>
        <v/>
      </c>
      <c r="B95" s="43" t="str">
        <f>IF(Skills!B25&lt;&gt;"",Skills!B25&amp;IF(AND(Skills!B25&lt;&gt;Skills!H25,Skills!H25&gt;=0)," ("&amp;Skills!H25&amp;")",""),"")</f>
        <v/>
      </c>
      <c r="C95" s="71">
        <f>IF(Skills!C25&lt;&gt;"",Skills!C25,"")</f>
        <v>300</v>
      </c>
      <c r="D95" s="764" t="str">
        <f>IF(Skills!D25&lt;&gt;"",Skills!D25,"")</f>
        <v>Monthly Trade Limit, Profit: 0 (sp)</v>
      </c>
      <c r="E95" s="765" t="str">
        <f>IF(Skills!E25&gt;"",Skills!E25,"")</f>
        <v/>
      </c>
      <c r="F95" s="765" t="str">
        <f>IF(Skills!I25&gt;"",Skills!I25,"")</f>
        <v/>
      </c>
      <c r="G95" s="765" t="str">
        <f>IF(Skills!L25&gt;"",Skills!L25,"")</f>
        <v/>
      </c>
      <c r="H95" s="765" t="str">
        <f>IF(Skills!M25&gt;"",Skills!M25,"")</f>
        <v/>
      </c>
      <c r="I95" s="765" t="str">
        <f>IF(Skills!N25&gt;"",Skills!N25,"")</f>
        <v/>
      </c>
      <c r="J95" s="765" t="str">
        <f>IF(Skills!O25&gt;"",Skills!O25,"")</f>
        <v/>
      </c>
      <c r="K95" s="765" t="str">
        <f>IF(Skills!P25&gt;"",Skills!P25,"")</f>
        <v/>
      </c>
      <c r="L95" s="765" t="str">
        <f>IF(Skills!Q25&gt;"",Skills!Q25,"")</f>
        <v/>
      </c>
    </row>
    <row r="96" spans="1:12" x14ac:dyDescent="0.2">
      <c r="A96" s="250" t="str">
        <f>IF(Skills!A26&lt;&gt;"",Skills!A26,"")</f>
        <v/>
      </c>
      <c r="B96" s="43" t="str">
        <f>IF(Skills!B26&lt;&gt;"",Skills!B26&amp;IF(AND(Skills!B26&lt;&gt;Skills!H26,Skills!H26&gt;=0)," ("&amp;Skills!H26&amp;")",""),"")</f>
        <v/>
      </c>
      <c r="C96" s="71" t="str">
        <f>IF(Skills!C26&lt;&gt;"",Skills!C26,"")</f>
        <v/>
      </c>
      <c r="D96" s="764" t="str">
        <f>IF(Skills!D26&lt;&gt;"",Skills!D26,"")</f>
        <v/>
      </c>
      <c r="E96" s="765" t="str">
        <f>IF(Skills!E26&gt;"",Skills!E26,"")</f>
        <v/>
      </c>
      <c r="F96" s="765" t="str">
        <f>IF(Skills!I26&gt;"",Skills!I26,"")</f>
        <v/>
      </c>
      <c r="G96" s="765" t="str">
        <f>IF(Skills!L26&gt;"",Skills!L26,"")</f>
        <v/>
      </c>
      <c r="H96" s="765" t="str">
        <f>IF(Skills!M26&gt;"",Skills!M26,"")</f>
        <v/>
      </c>
      <c r="I96" s="765" t="str">
        <f>IF(Skills!N26&gt;"",Skills!N26,"")</f>
        <v/>
      </c>
      <c r="J96" s="765" t="str">
        <f>IF(Skills!O26&gt;"",Skills!O26,"")</f>
        <v/>
      </c>
      <c r="K96" s="765" t="str">
        <f>IF(Skills!P26&gt;"",Skills!P26,"")</f>
        <v/>
      </c>
      <c r="L96" s="765" t="str">
        <f>IF(Skills!Q26&gt;"",Skills!Q26,"")</f>
        <v/>
      </c>
    </row>
    <row r="97" spans="1:12" x14ac:dyDescent="0.2">
      <c r="A97" s="250" t="str">
        <f>IF(Skills!A27&lt;&gt;"",Skills!A27,"")</f>
        <v>Military Scientist</v>
      </c>
      <c r="B97" s="43" t="str">
        <f>IF(Skills!B27&lt;&gt;"",Skills!B27&amp;IF(AND(Skills!B27&lt;&gt;Skills!H27,Skills!H27&gt;=0)," ("&amp;Skills!H27&amp;")",""),"")</f>
        <v>Un</v>
      </c>
      <c r="C97" s="71" t="str">
        <f>IF(Skills!C27&lt;&gt;"",Skills!C27,"")</f>
        <v/>
      </c>
      <c r="D97" s="764" t="str">
        <f>IF(Skills!D27&lt;&gt;"",Skills!D27,"")</f>
        <v>Skirmish, …</v>
      </c>
      <c r="E97" s="765" t="str">
        <f>IF(Skills!E27&gt;"",Skills!E27,"")</f>
        <v/>
      </c>
      <c r="F97" s="765" t="str">
        <f>IF(Skills!I27&gt;"",Skills!I27,"")</f>
        <v/>
      </c>
      <c r="G97" s="765" t="str">
        <f>IF(Skills!L27&gt;"",Skills!L27,"")</f>
        <v/>
      </c>
      <c r="H97" s="765" t="str">
        <f>IF(Skills!M27&gt;"",Skills!M27,"")</f>
        <v/>
      </c>
      <c r="I97" s="765" t="str">
        <f>IF(Skills!N27&gt;"",Skills!N27,"")</f>
        <v/>
      </c>
      <c r="J97" s="765" t="str">
        <f>IF(Skills!O27&gt;"",Skills!O27,"")</f>
        <v/>
      </c>
      <c r="K97" s="765" t="str">
        <f>IF(Skills!P27&gt;"",Skills!P27,"")</f>
        <v/>
      </c>
      <c r="L97" s="765" t="str">
        <f>IF(Skills!Q27&gt;"",Skills!Q27,"")</f>
        <v/>
      </c>
    </row>
    <row r="98" spans="1:12" x14ac:dyDescent="0.2">
      <c r="A98" s="250" t="str">
        <f>IF(Skills!A28&lt;&gt;"",Skills!A28,"")</f>
        <v/>
      </c>
      <c r="B98" s="43" t="str">
        <f>IF(Skills!B28&lt;&gt;"",Skills!B28&amp;IF(AND(Skills!B28&lt;&gt;Skills!H28,Skills!H28&gt;=0)," ("&amp;Skills!H28&amp;")",""),"")</f>
        <v/>
      </c>
      <c r="C98" s="71" t="str">
        <f>IF(Skills!C28&lt;&gt;"",Skills!C28,"")</f>
        <v/>
      </c>
      <c r="D98" s="766" t="str">
        <f>IF(Skills!D28&lt;&gt;"",Skills!D28,"")</f>
        <v/>
      </c>
      <c r="E98" s="765" t="str">
        <f>IF(Skills!E28&gt;"",Skills!E28,"")</f>
        <v/>
      </c>
      <c r="F98" s="765" t="str">
        <f>IF(Skills!I28&gt;"",Skills!I28,"")</f>
        <v/>
      </c>
      <c r="G98" s="765" t="str">
        <f>IF(Skills!L28&gt;"",Skills!L28,"")</f>
        <v/>
      </c>
      <c r="H98" s="765" t="str">
        <f>IF(Skills!M28&gt;"",Skills!M28,"")</f>
        <v/>
      </c>
      <c r="I98" s="765" t="str">
        <f>IF(Skills!N28&gt;"",Skills!N28,"")</f>
        <v/>
      </c>
      <c r="J98" s="765" t="str">
        <f>IF(Skills!O28&gt;"",Skills!O28,"")</f>
        <v/>
      </c>
      <c r="K98" s="765" t="str">
        <f>IF(Skills!P28&gt;"",Skills!P28,"")</f>
        <v/>
      </c>
      <c r="L98" s="765" t="str">
        <f>IF(Skills!Q28&gt;"",Skills!Q28,"")</f>
        <v/>
      </c>
    </row>
    <row r="99" spans="1:12" x14ac:dyDescent="0.2">
      <c r="A99" s="250" t="str">
        <f>IF(Skills!A29&lt;&gt;"",Skills!A29,"")</f>
        <v/>
      </c>
      <c r="B99" s="43" t="str">
        <f>IF(Skills!B29&lt;&gt;"",Skills!B29&amp;IF(AND(Skills!B29&lt;&gt;Skills!H29,Skills!H29&gt;=0)," ("&amp;Skills!H29&amp;")",""),"")</f>
        <v/>
      </c>
      <c r="C99" s="71" t="str">
        <f>IF(Skills!C29&lt;&gt;"",Skills!C29,"")</f>
        <v/>
      </c>
      <c r="D99" s="764" t="str">
        <f>IF(Skills!D29&lt;&gt;"",Skills!D29,"")</f>
        <v/>
      </c>
      <c r="E99" s="765" t="str">
        <f>IF(Skills!E29&gt;"",Skills!E29,"")</f>
        <v/>
      </c>
      <c r="F99" s="765" t="str">
        <f>IF(Skills!I29&gt;"",Skills!I29,"")</f>
        <v/>
      </c>
      <c r="G99" s="765" t="str">
        <f>IF(Skills!L29&gt;"",Skills!L29,"")</f>
        <v/>
      </c>
      <c r="H99" s="765" t="str">
        <f>IF(Skills!M29&gt;"",Skills!M29,"")</f>
        <v/>
      </c>
      <c r="I99" s="765" t="str">
        <f>IF(Skills!N29&gt;"",Skills!N29,"")</f>
        <v/>
      </c>
      <c r="J99" s="765" t="str">
        <f>IF(Skills!O29&gt;"",Skills!O29,"")</f>
        <v/>
      </c>
      <c r="K99" s="765" t="str">
        <f>IF(Skills!P29&gt;"",Skills!P29,"")</f>
        <v/>
      </c>
      <c r="L99" s="765" t="str">
        <f>IF(Skills!Q29&gt;"",Skills!Q29,"")</f>
        <v/>
      </c>
    </row>
    <row r="100" spans="1:12" x14ac:dyDescent="0.2">
      <c r="A100" s="250" t="str">
        <f>IF(Skills!A30&lt;&gt;"",Skills!A30,"")</f>
        <v/>
      </c>
      <c r="B100" s="43" t="str">
        <f>IF(Skills!B30&lt;&gt;"",Skills!B30&amp;IF(AND(Skills!B30&lt;&gt;Skills!H30,Skills!H30&gt;=0)," ("&amp;Skills!H30&amp;")",""),"")</f>
        <v/>
      </c>
      <c r="C100" s="71" t="str">
        <f>IF(Skills!C30&lt;&gt;"",Skills!C30,"")</f>
        <v/>
      </c>
      <c r="D100" s="764" t="str">
        <f>IF(Skills!D30&lt;&gt;"",Skills!D30,"")</f>
        <v/>
      </c>
      <c r="E100" s="765" t="str">
        <f>IF(Skills!E30&gt;"",Skills!E30,"")</f>
        <v/>
      </c>
      <c r="F100" s="765" t="str">
        <f>IF(Skills!I30&gt;"",Skills!I30,"")</f>
        <v/>
      </c>
      <c r="G100" s="765" t="str">
        <f>IF(Skills!L30&gt;"",Skills!L30,"")</f>
        <v/>
      </c>
      <c r="H100" s="765" t="str">
        <f>IF(Skills!M30&gt;"",Skills!M30,"")</f>
        <v/>
      </c>
      <c r="I100" s="765" t="str">
        <f>IF(Skills!N30&gt;"",Skills!N30,"")</f>
        <v/>
      </c>
      <c r="J100" s="765" t="str">
        <f>IF(Skills!O30&gt;"",Skills!O30,"")</f>
        <v/>
      </c>
      <c r="K100" s="765" t="str">
        <f>IF(Skills!P30&gt;"",Skills!P30,"")</f>
        <v/>
      </c>
      <c r="L100" s="765" t="str">
        <f>IF(Skills!Q30&gt;"",Skills!Q30,"")</f>
        <v/>
      </c>
    </row>
    <row r="101" spans="1:12" x14ac:dyDescent="0.2">
      <c r="A101" s="250" t="str">
        <f>IF(Skills!A31&lt;&gt;"",Skills!A31,"")</f>
        <v/>
      </c>
      <c r="B101" s="43" t="str">
        <f>IF(Skills!B31&lt;&gt;"",Skills!B31&amp;IF(AND(Skills!B31&lt;&gt;Skills!H31,Skills!H31&gt;=0)," ("&amp;Skills!H31&amp;")",""),"")</f>
        <v/>
      </c>
      <c r="C101" s="71" t="str">
        <f>IF(Skills!C31&lt;&gt;"",Skills!C31,"")</f>
        <v/>
      </c>
      <c r="D101" s="764" t="str">
        <f>IF(Skills!D31&lt;&gt;"",Skills!D31,"")</f>
        <v/>
      </c>
      <c r="E101" s="765" t="str">
        <f>IF(Skills!E31&gt;"",Skills!E31,"")</f>
        <v/>
      </c>
      <c r="F101" s="765" t="str">
        <f>IF(Skills!I31&gt;"",Skills!I31,"")</f>
        <v/>
      </c>
      <c r="G101" s="765" t="str">
        <f>IF(Skills!L31&gt;"",Skills!L31,"")</f>
        <v/>
      </c>
      <c r="H101" s="765" t="str">
        <f>IF(Skills!M31&gt;"",Skills!M31,"")</f>
        <v/>
      </c>
      <c r="I101" s="765" t="str">
        <f>IF(Skills!N31&gt;"",Skills!N31,"")</f>
        <v/>
      </c>
      <c r="J101" s="765" t="str">
        <f>IF(Skills!O31&gt;"",Skills!O31,"")</f>
        <v/>
      </c>
      <c r="K101" s="765" t="str">
        <f>IF(Skills!P31&gt;"",Skills!P31,"")</f>
        <v/>
      </c>
      <c r="L101" s="765" t="str">
        <f>IF(Skills!Q31&gt;"",Skills!Q31,"")</f>
        <v/>
      </c>
    </row>
    <row r="102" spans="1:12" x14ac:dyDescent="0.2">
      <c r="A102" s="250" t="str">
        <f>IF(Skills!A32&lt;&gt;"",Skills!A32,"")</f>
        <v/>
      </c>
      <c r="B102" s="43" t="str">
        <f>IF(Skills!B32&lt;&gt;"",Skills!B32&amp;IF(AND(Skills!B32&lt;&gt;Skills!H32,Skills!H32&gt;=0)," ("&amp;Skills!H32&amp;")",""),"")</f>
        <v/>
      </c>
      <c r="C102" s="71" t="str">
        <f>IF(Skills!C32&lt;&gt;"",Skills!C32,"")</f>
        <v/>
      </c>
      <c r="D102" s="764" t="str">
        <f>IF(Skills!D32&lt;&gt;"",Skills!D32,"")</f>
        <v/>
      </c>
      <c r="E102" s="765" t="str">
        <f>IF(Skills!E32&gt;"",Skills!E32,"")</f>
        <v/>
      </c>
      <c r="F102" s="765" t="str">
        <f>IF(Skills!I32&gt;"",Skills!I32,"")</f>
        <v/>
      </c>
      <c r="G102" s="765" t="str">
        <f>IF(Skills!L32&gt;"",Skills!L32,"")</f>
        <v/>
      </c>
      <c r="H102" s="765" t="str">
        <f>IF(Skills!M32&gt;"",Skills!M32,"")</f>
        <v/>
      </c>
      <c r="I102" s="765" t="str">
        <f>IF(Skills!N32&gt;"",Skills!N32,"")</f>
        <v/>
      </c>
      <c r="J102" s="765" t="str">
        <f>IF(Skills!O32&gt;"",Skills!O32,"")</f>
        <v/>
      </c>
      <c r="K102" s="765" t="str">
        <f>IF(Skills!P32&gt;"",Skills!P32,"")</f>
        <v/>
      </c>
      <c r="L102" s="765" t="str">
        <f>IF(Skills!Q32&gt;"",Skills!Q32,"")</f>
        <v/>
      </c>
    </row>
    <row r="103" spans="1:12" x14ac:dyDescent="0.2">
      <c r="A103" s="250" t="str">
        <f>IF(Skills!A33&lt;&gt;"",Skills!A33,"")</f>
        <v>Navigator</v>
      </c>
      <c r="B103" s="43" t="str">
        <f>IF(Skills!B33&lt;&gt;"",Skills!B33&amp;IF(AND(Skills!B33&lt;&gt;Skills!H33,Skills!H33&gt;=0)," ("&amp;Skills!H33&amp;")",""),"")</f>
        <v>Un</v>
      </c>
      <c r="C103" s="71" t="str">
        <f>IF(Skills!C33&lt;&gt;"",Skills!C33,"")</f>
        <v/>
      </c>
      <c r="D103" s="764" t="str">
        <f>IF(Skills!D33&lt;&gt;"",Skills!D33,"")</f>
        <v/>
      </c>
      <c r="E103" s="765" t="str">
        <f>IF(Skills!E33&gt;"",Skills!E33,"")</f>
        <v/>
      </c>
      <c r="F103" s="765" t="str">
        <f>IF(Skills!I33&gt;"",Skills!I33,"")</f>
        <v/>
      </c>
      <c r="G103" s="765" t="str">
        <f>IF(Skills!L33&gt;"",Skills!L33,"")</f>
        <v/>
      </c>
      <c r="H103" s="765" t="str">
        <f>IF(Skills!M33&gt;"",Skills!M33,"")</f>
        <v/>
      </c>
      <c r="I103" s="765" t="str">
        <f>IF(Skills!N33&gt;"",Skills!N33,"")</f>
        <v/>
      </c>
      <c r="J103" s="765" t="str">
        <f>IF(Skills!O33&gt;"",Skills!O33,"")</f>
        <v/>
      </c>
      <c r="K103" s="765" t="str">
        <f>IF(Skills!P33&gt;"",Skills!P33,"")</f>
        <v/>
      </c>
      <c r="L103" s="765" t="str">
        <f>IF(Skills!Q33&gt;"",Skills!Q33,"")</f>
        <v/>
      </c>
    </row>
    <row r="104" spans="1:12" x14ac:dyDescent="0.2">
      <c r="A104" s="250" t="str">
        <f>IF(Skills!A34&lt;&gt;"",Skills!A34,"")</f>
        <v/>
      </c>
      <c r="B104" s="43" t="str">
        <f>IF(Skills!B34&lt;&gt;"",Skills!B34&amp;IF(AND(Skills!B34&lt;&gt;Skills!H34,Skills!H34&gt;=0)," ("&amp;Skills!H34&amp;")",""),"")</f>
        <v/>
      </c>
      <c r="C104" s="71" t="str">
        <f>IF(Skills!C34&lt;&gt;"",Skills!C34,"")</f>
        <v/>
      </c>
      <c r="D104" s="764" t="str">
        <f>IF(Skills!D34&lt;&gt;"",Skills!D34,"")</f>
        <v/>
      </c>
      <c r="E104" s="765" t="str">
        <f>IF(Skills!E34&gt;"",Skills!E34,"")</f>
        <v/>
      </c>
      <c r="F104" s="765" t="str">
        <f>IF(Skills!I34&gt;"",Skills!I34,"")</f>
        <v/>
      </c>
      <c r="G104" s="765" t="str">
        <f>IF(Skills!L34&gt;"",Skills!L34,"")</f>
        <v/>
      </c>
      <c r="H104" s="765" t="str">
        <f>IF(Skills!M34&gt;"",Skills!M34,"")</f>
        <v/>
      </c>
      <c r="I104" s="765" t="str">
        <f>IF(Skills!N34&gt;"",Skills!N34,"")</f>
        <v/>
      </c>
      <c r="J104" s="765" t="str">
        <f>IF(Skills!O34&gt;"",Skills!O34,"")</f>
        <v/>
      </c>
      <c r="K104" s="765" t="str">
        <f>IF(Skills!P34&gt;"",Skills!P34,"")</f>
        <v/>
      </c>
      <c r="L104" s="765" t="str">
        <f>IF(Skills!Q34&gt;"",Skills!Q34,"")</f>
        <v/>
      </c>
    </row>
    <row r="105" spans="1:12" x14ac:dyDescent="0.2">
      <c r="A105" s="250" t="str">
        <f>IF(Skills!A35&lt;&gt;"",Skills!A35,"")</f>
        <v>Philosopher</v>
      </c>
      <c r="B105" s="43" t="str">
        <f>IF(Skills!B35&lt;&gt;"",Skills!B35&amp;IF(AND(Skills!B35&lt;&gt;Skills!H35,Skills!H35&gt;=0)," ("&amp;Skills!H35&amp;")",""),"")</f>
        <v>Un</v>
      </c>
      <c r="C105" s="71" t="str">
        <f>IF(Skills!C35&lt;&gt;"",Skills!C35,"")</f>
        <v/>
      </c>
      <c r="D105" s="764" t="str">
        <f>IF(Skills!D35&lt;&gt;"",Skills!D35,"")</f>
        <v>Realms/Fields/…</v>
      </c>
      <c r="E105" s="765" t="str">
        <f>IF(Skills!E35&gt;"",Skills!E35,"")</f>
        <v/>
      </c>
      <c r="F105" s="765" t="str">
        <f>IF(Skills!I35&gt;"",Skills!I35,"")</f>
        <v/>
      </c>
      <c r="G105" s="765" t="str">
        <f>IF(Skills!L35&gt;"",Skills!L35,"")</f>
        <v/>
      </c>
      <c r="H105" s="765" t="str">
        <f>IF(Skills!M35&gt;"",Skills!M35,"")</f>
        <v/>
      </c>
      <c r="I105" s="765" t="str">
        <f>IF(Skills!N35&gt;"",Skills!N35,"")</f>
        <v/>
      </c>
      <c r="J105" s="765" t="str">
        <f>IF(Skills!O35&gt;"",Skills!O35,"")</f>
        <v/>
      </c>
      <c r="K105" s="765" t="str">
        <f>IF(Skills!P35&gt;"",Skills!P35,"")</f>
        <v/>
      </c>
      <c r="L105" s="765" t="str">
        <f>IF(Skills!Q35&gt;"",Skills!Q35,"")</f>
        <v/>
      </c>
    </row>
    <row r="106" spans="1:12" x14ac:dyDescent="0.2">
      <c r="A106" s="250" t="str">
        <f>IF(Skills!A36&lt;&gt;"",Skills!A36,"")</f>
        <v/>
      </c>
      <c r="B106" s="43" t="str">
        <f>IF(Skills!B36&lt;&gt;"",Skills!B36&amp;IF(AND(Skills!B36&lt;&gt;Skills!H36,Skills!H36&gt;=0)," ("&amp;Skills!H36&amp;")",""),"")</f>
        <v/>
      </c>
      <c r="C106" s="71" t="str">
        <f>IF(Skills!C36&lt;&gt;"",Skills!C36,"")</f>
        <v/>
      </c>
      <c r="D106" s="764" t="str">
        <f>IF(Skills!D36&lt;&gt;"",Skills!D36,"")</f>
        <v/>
      </c>
      <c r="E106" s="765" t="str">
        <f>IF(Skills!E36&gt;"",Skills!E36,"")</f>
        <v/>
      </c>
      <c r="F106" s="765" t="str">
        <f>IF(Skills!I36&gt;"",Skills!I36,"")</f>
        <v/>
      </c>
      <c r="G106" s="765" t="str">
        <f>IF(Skills!L36&gt;"",Skills!L36,"")</f>
        <v/>
      </c>
      <c r="H106" s="765" t="str">
        <f>IF(Skills!M36&gt;"",Skills!M36,"")</f>
        <v/>
      </c>
      <c r="I106" s="765" t="str">
        <f>IF(Skills!N36&gt;"",Skills!N36,"")</f>
        <v/>
      </c>
      <c r="J106" s="765" t="str">
        <f>IF(Skills!O36&gt;"",Skills!O36,"")</f>
        <v/>
      </c>
      <c r="K106" s="765" t="str">
        <f>IF(Skills!P36&gt;"",Skills!P36,"")</f>
        <v/>
      </c>
      <c r="L106" s="765" t="str">
        <f>IF(Skills!Q36&gt;"",Skills!Q36,"")</f>
        <v/>
      </c>
    </row>
    <row r="107" spans="1:12" x14ac:dyDescent="0.2">
      <c r="A107" s="250" t="str">
        <f>IF(Skills!A37&lt;&gt;"",Skills!A37,"")</f>
        <v>Ranger</v>
      </c>
      <c r="B107" s="43" t="str">
        <f>IF(Skills!B37&lt;&gt;"",Skills!B37&amp;IF(AND(Skills!B37&lt;&gt;Skills!H37,Skills!H37&gt;=0)," ("&amp;Skills!H37&amp;")",""),"")</f>
        <v>Un</v>
      </c>
      <c r="C107" s="71" t="str">
        <f>IF(Skills!C37&lt;&gt;"",Skills!C37,"")</f>
        <v/>
      </c>
      <c r="D107" s="764" t="str">
        <f>IF(Skills!D37&lt;&gt;"",Skills!D37,"")</f>
        <v>Specialised in ?</v>
      </c>
      <c r="E107" s="765" t="str">
        <f>IF(Skills!E37&gt;"",Skills!E37,"")</f>
        <v/>
      </c>
      <c r="F107" s="765" t="str">
        <f>IF(Skills!I37&gt;"",Skills!I37,"")</f>
        <v/>
      </c>
      <c r="G107" s="765" t="str">
        <f>IF(Skills!L37&gt;"",Skills!L37,"")</f>
        <v/>
      </c>
      <c r="H107" s="765" t="str">
        <f>IF(Skills!M37&gt;"",Skills!M37,"")</f>
        <v/>
      </c>
      <c r="I107" s="765" t="str">
        <f>IF(Skills!N37&gt;"",Skills!N37,"")</f>
        <v/>
      </c>
      <c r="J107" s="765" t="str">
        <f>IF(Skills!O37&gt;"",Skills!O37,"")</f>
        <v/>
      </c>
      <c r="K107" s="765" t="str">
        <f>IF(Skills!P37&gt;"",Skills!P37,"")</f>
        <v/>
      </c>
      <c r="L107" s="765" t="str">
        <f>IF(Skills!Q37&gt;"",Skills!Q37,"")</f>
        <v/>
      </c>
    </row>
    <row r="108" spans="1:12" x14ac:dyDescent="0.2">
      <c r="A108" s="250" t="str">
        <f>IF(Skills!A38&lt;&gt;"",Skills!A38,"")</f>
        <v/>
      </c>
      <c r="B108" s="43" t="str">
        <f>IF(Skills!B38&lt;&gt;"",Skills!B38&amp;IF(AND(Skills!B38&lt;&gt;Skills!H38,Skills!H38&gt;=0)," ("&amp;Skills!H38&amp;")",""),"")</f>
        <v/>
      </c>
      <c r="C108" s="71" t="str">
        <f>IF(Skills!C38&lt;&gt;"",Skills!C38,"")</f>
        <v/>
      </c>
      <c r="D108" s="764" t="str">
        <f>IF(Skills!D38&lt;&gt;"",Skills!D38,"")</f>
        <v/>
      </c>
      <c r="E108" s="765" t="str">
        <f>IF(Skills!E38&gt;"",Skills!E38,"")</f>
        <v/>
      </c>
      <c r="F108" s="765" t="str">
        <f>IF(Skills!I38&gt;"",Skills!I38,"")</f>
        <v/>
      </c>
      <c r="G108" s="765" t="str">
        <f>IF(Skills!L38&gt;"",Skills!L38,"")</f>
        <v/>
      </c>
      <c r="H108" s="765" t="str">
        <f>IF(Skills!M38&gt;"",Skills!M38,"")</f>
        <v/>
      </c>
      <c r="I108" s="765" t="str">
        <f>IF(Skills!N38&gt;"",Skills!N38,"")</f>
        <v/>
      </c>
      <c r="J108" s="765" t="str">
        <f>IF(Skills!O38&gt;"",Skills!O38,"")</f>
        <v/>
      </c>
      <c r="K108" s="765" t="str">
        <f>IF(Skills!P38&gt;"",Skills!P38,"")</f>
        <v/>
      </c>
      <c r="L108" s="765" t="str">
        <f>IF(Skills!Q38&gt;"",Skills!Q38,"")</f>
        <v/>
      </c>
    </row>
    <row r="109" spans="1:12" x14ac:dyDescent="0.2">
      <c r="A109" s="250" t="str">
        <f>IF(Skills!A39&lt;&gt;"",Skills!A39,"")</f>
        <v/>
      </c>
      <c r="B109" s="43" t="str">
        <f>IF(Skills!B39&lt;&gt;"",Skills!B39&amp;IF(AND(Skills!B39&lt;&gt;Skills!H39,Skills!H39&gt;=0)," ("&amp;Skills!H39&amp;")",""),"")</f>
        <v/>
      </c>
      <c r="C109" s="71" t="str">
        <f>IF(Skills!C39&lt;&gt;"",Skills!C39,"")</f>
        <v/>
      </c>
      <c r="D109" s="764" t="str">
        <f>IF(Skills!D39&lt;&gt;"",Skills!D39,"")</f>
        <v/>
      </c>
      <c r="E109" s="765" t="str">
        <f>IF(Skills!E39&gt;"",Skills!E39,"")</f>
        <v/>
      </c>
      <c r="F109" s="765" t="str">
        <f>IF(Skills!I39&gt;"",Skills!I39,"")</f>
        <v/>
      </c>
      <c r="G109" s="765" t="str">
        <f>IF(Skills!L39&gt;"",Skills!L39,"")</f>
        <v/>
      </c>
      <c r="H109" s="765" t="str">
        <f>IF(Skills!M39&gt;"",Skills!M39,"")</f>
        <v/>
      </c>
      <c r="I109" s="765" t="str">
        <f>IF(Skills!N39&gt;"",Skills!N39,"")</f>
        <v/>
      </c>
      <c r="J109" s="765" t="str">
        <f>IF(Skills!O39&gt;"",Skills!O39,"")</f>
        <v/>
      </c>
      <c r="K109" s="765" t="str">
        <f>IF(Skills!P39&gt;"",Skills!P39,"")</f>
        <v/>
      </c>
      <c r="L109" s="765" t="str">
        <f>IF(Skills!Q39&gt;"",Skills!Q39,"")</f>
        <v/>
      </c>
    </row>
    <row r="110" spans="1:12" x14ac:dyDescent="0.2">
      <c r="A110" s="250" t="str">
        <f>IF(Skills!A40&lt;&gt;"",Skills!A40,"")</f>
        <v/>
      </c>
      <c r="B110" s="43" t="str">
        <f>IF(Skills!B40&lt;&gt;"",Skills!B40&amp;IF(AND(Skills!B40&lt;&gt;Skills!H40,Skills!H40&gt;=0)," ("&amp;Skills!H40&amp;")",""),"")</f>
        <v/>
      </c>
      <c r="C110" s="71" t="str">
        <f>IF(Skills!C40&lt;&gt;"",Skills!C40,"")</f>
        <v/>
      </c>
      <c r="D110" s="764" t="str">
        <f>IF(Skills!D40&lt;&gt;"",Skills!D40,"")</f>
        <v/>
      </c>
      <c r="E110" s="765" t="str">
        <f>IF(Skills!E40&gt;"",Skills!E40,"")</f>
        <v/>
      </c>
      <c r="F110" s="765" t="str">
        <f>IF(Skills!I40&gt;"",Skills!I40,"")</f>
        <v/>
      </c>
      <c r="G110" s="765" t="str">
        <f>IF(Skills!L40&gt;"",Skills!L40,"")</f>
        <v/>
      </c>
      <c r="H110" s="765" t="str">
        <f>IF(Skills!M40&gt;"",Skills!M40,"")</f>
        <v/>
      </c>
      <c r="I110" s="765" t="str">
        <f>IF(Skills!N40&gt;"",Skills!N40,"")</f>
        <v/>
      </c>
      <c r="J110" s="765" t="str">
        <f>IF(Skills!O40&gt;"",Skills!O40,"")</f>
        <v/>
      </c>
      <c r="K110" s="765" t="str">
        <f>IF(Skills!P40&gt;"",Skills!P40,"")</f>
        <v/>
      </c>
      <c r="L110" s="765" t="str">
        <f>IF(Skills!Q40&gt;"",Skills!Q40,"")</f>
        <v/>
      </c>
    </row>
    <row r="111" spans="1:12" x14ac:dyDescent="0.2">
      <c r="A111" s="250" t="str">
        <f>IF(Skills!A41&lt;&gt;"",Skills!A41,"")</f>
        <v/>
      </c>
      <c r="B111" s="43" t="str">
        <f>IF(Skills!B41&lt;&gt;"",Skills!B41&amp;IF(AND(Skills!B41&lt;&gt;Skills!H41,Skills!H41&gt;=0)," ("&amp;Skills!H41&amp;")",""),"")</f>
        <v/>
      </c>
      <c r="C111" s="71" t="str">
        <f>IF(Skills!C41&lt;&gt;"",Skills!C41,"")</f>
        <v/>
      </c>
      <c r="D111" s="764" t="str">
        <f>IF(Skills!D41&lt;&gt;"",Skills!D41,"")</f>
        <v/>
      </c>
      <c r="E111" s="765" t="str">
        <f>IF(Skills!E41&gt;"",Skills!E41,"")</f>
        <v/>
      </c>
      <c r="F111" s="765" t="str">
        <f>IF(Skills!I41&gt;"",Skills!I41,"")</f>
        <v/>
      </c>
      <c r="G111" s="765" t="str">
        <f>IF(Skills!L41&gt;"",Skills!L41,"")</f>
        <v/>
      </c>
      <c r="H111" s="765" t="str">
        <f>IF(Skills!M41&gt;"",Skills!M41,"")</f>
        <v/>
      </c>
      <c r="I111" s="765" t="str">
        <f>IF(Skills!N41&gt;"",Skills!N41,"")</f>
        <v/>
      </c>
      <c r="J111" s="765" t="str">
        <f>IF(Skills!O41&gt;"",Skills!O41,"")</f>
        <v/>
      </c>
      <c r="K111" s="765" t="str">
        <f>IF(Skills!P41&gt;"",Skills!P41,"")</f>
        <v/>
      </c>
      <c r="L111" s="765" t="str">
        <f>IF(Skills!Q41&gt;"",Skills!Q41,"")</f>
        <v/>
      </c>
    </row>
    <row r="112" spans="1:12" x14ac:dyDescent="0.2">
      <c r="A112" s="250" t="str">
        <f>IF(Skills!A42&lt;&gt;"",Skills!A42,"")</f>
        <v/>
      </c>
      <c r="B112" s="43" t="str">
        <f>IF(Skills!B42&lt;&gt;"",Skills!B42&amp;IF(AND(Skills!B42&lt;&gt;Skills!H42,Skills!H42&gt;=0)," ("&amp;Skills!H42&amp;")",""),"")</f>
        <v/>
      </c>
      <c r="C112" s="71" t="str">
        <f>IF(Skills!C42&lt;&gt;"",Skills!C42,"")</f>
        <v/>
      </c>
      <c r="D112" s="764" t="str">
        <f>IF(Skills!D42&lt;&gt;"",Skills!D42,"")</f>
        <v/>
      </c>
      <c r="E112" s="765" t="str">
        <f>IF(Skills!E42&gt;"",Skills!E42,"")</f>
        <v/>
      </c>
      <c r="F112" s="765" t="str">
        <f>IF(Skills!I42&gt;"",Skills!I42,"")</f>
        <v/>
      </c>
      <c r="G112" s="765" t="str">
        <f>IF(Skills!L42&gt;"",Skills!L42,"")</f>
        <v/>
      </c>
      <c r="H112" s="765" t="str">
        <f>IF(Skills!M42&gt;"",Skills!M42,"")</f>
        <v/>
      </c>
      <c r="I112" s="765" t="str">
        <f>IF(Skills!N42&gt;"",Skills!N42,"")</f>
        <v/>
      </c>
      <c r="J112" s="765" t="str">
        <f>IF(Skills!O42&gt;"",Skills!O42,"")</f>
        <v/>
      </c>
      <c r="K112" s="765" t="str">
        <f>IF(Skills!P42&gt;"",Skills!P42,"")</f>
        <v/>
      </c>
      <c r="L112" s="765" t="str">
        <f>IF(Skills!Q42&gt;"",Skills!Q42,"")</f>
        <v/>
      </c>
    </row>
    <row r="113" spans="1:12" x14ac:dyDescent="0.2">
      <c r="A113" s="250" t="str">
        <f>IF(Skills!A43&lt;&gt;"",Skills!A43,"")</f>
        <v>Spy</v>
      </c>
      <c r="B113" s="43" t="str">
        <f>IF(Skills!B43&lt;&gt;"",Skills!B43&amp;IF(AND(Skills!B43&lt;&gt;Skills!H43,Skills!H43&gt;=0)," ("&amp;Skills!H43&amp;")",""),"")</f>
        <v>Un</v>
      </c>
      <c r="C113" s="71" t="str">
        <f>IF(Skills!C43&lt;&gt;"",Skills!C43,"")</f>
        <v/>
      </c>
      <c r="D113" s="764" t="str">
        <f>IF(Skills!D43&lt;&gt;"",Skills!D43,"")</f>
        <v>Selected abilities?</v>
      </c>
      <c r="E113" s="765" t="str">
        <f>IF(Skills!E43&gt;"",Skills!E43,"")</f>
        <v/>
      </c>
      <c r="F113" s="765" t="str">
        <f>IF(Skills!I43&gt;"",Skills!I43,"")</f>
        <v/>
      </c>
      <c r="G113" s="765" t="str">
        <f>IF(Skills!L43&gt;"",Skills!L43,"")</f>
        <v/>
      </c>
      <c r="H113" s="765" t="str">
        <f>IF(Skills!M43&gt;"",Skills!M43,"")</f>
        <v/>
      </c>
      <c r="I113" s="765" t="str">
        <f>IF(Skills!N43&gt;"",Skills!N43,"")</f>
        <v/>
      </c>
      <c r="J113" s="765" t="str">
        <f>IF(Skills!O43&gt;"",Skills!O43,"")</f>
        <v/>
      </c>
      <c r="K113" s="765" t="str">
        <f>IF(Skills!P43&gt;"",Skills!P43,"")</f>
        <v/>
      </c>
      <c r="L113" s="765" t="str">
        <f>IF(Skills!Q43&gt;"",Skills!Q43,"")</f>
        <v/>
      </c>
    </row>
    <row r="114" spans="1:12" x14ac:dyDescent="0.2">
      <c r="A114" s="250" t="str">
        <f>IF(Skills!A44&lt;&gt;"",Skills!A44,"")</f>
        <v/>
      </c>
      <c r="B114" s="43" t="str">
        <f>IF(Skills!B44&lt;&gt;"",Skills!B44&amp;IF(AND(Skills!B44&lt;&gt;Skills!H44,Skills!H44&gt;=0)," ("&amp;Skills!H44&amp;")",""),"")</f>
        <v/>
      </c>
      <c r="C114" s="71" t="str">
        <f>IF(Skills!C44&lt;&gt;"",Skills!C44,"")</f>
        <v/>
      </c>
      <c r="D114" s="764" t="str">
        <f>IF(Skills!D44&lt;&gt;"",Skills!D44,"")</f>
        <v/>
      </c>
      <c r="E114" s="765" t="str">
        <f>IF(Skills!E44&gt;"",Skills!E44,"")</f>
        <v/>
      </c>
      <c r="F114" s="765" t="str">
        <f>IF(Skills!I44&gt;"",Skills!I44,"")</f>
        <v/>
      </c>
      <c r="G114" s="765" t="str">
        <f>IF(Skills!L44&gt;"",Skills!L44,"")</f>
        <v/>
      </c>
      <c r="H114" s="765" t="str">
        <f>IF(Skills!M44&gt;"",Skills!M44,"")</f>
        <v/>
      </c>
      <c r="I114" s="765" t="str">
        <f>IF(Skills!N44&gt;"",Skills!N44,"")</f>
        <v/>
      </c>
      <c r="J114" s="765" t="str">
        <f>IF(Skills!O44&gt;"",Skills!O44,"")</f>
        <v/>
      </c>
      <c r="K114" s="765" t="str">
        <f>IF(Skills!P44&gt;"",Skills!P44,"")</f>
        <v/>
      </c>
      <c r="L114" s="765" t="str">
        <f>IF(Skills!Q44&gt;"",Skills!Q44,"")</f>
        <v/>
      </c>
    </row>
    <row r="115" spans="1:12" x14ac:dyDescent="0.2">
      <c r="A115" s="250" t="str">
        <f>IF(Skills!A45&lt;&gt;"",Skills!A45,"")</f>
        <v/>
      </c>
      <c r="B115" s="43" t="str">
        <f>IF(Skills!B45&lt;&gt;"",Skills!B45&amp;IF(AND(Skills!B45&lt;&gt;Skills!H45,Skills!H45&gt;=0)," ("&amp;Skills!H45&amp;")",""),"")</f>
        <v/>
      </c>
      <c r="C115" s="206" t="str">
        <f>IF(Skills!C45&lt;&gt;"",Skills!C45,"")</f>
        <v/>
      </c>
      <c r="D115" s="764" t="str">
        <f>IF(Skills!D45&lt;&gt;"",Skills!D45,"")</f>
        <v/>
      </c>
      <c r="E115" s="765" t="str">
        <f>IF(Skills!E45&gt;"",Skills!E45,"")</f>
        <v/>
      </c>
      <c r="F115" s="765" t="str">
        <f>IF(Skills!I45&gt;"",Skills!I45,"")</f>
        <v/>
      </c>
      <c r="G115" s="765" t="str">
        <f>IF(Skills!L45&gt;"",Skills!L45,"")</f>
        <v/>
      </c>
      <c r="H115" s="765" t="str">
        <f>IF(Skills!M45&gt;"",Skills!M45,"")</f>
        <v/>
      </c>
      <c r="I115" s="765" t="str">
        <f>IF(Skills!N45&gt;"",Skills!N45,"")</f>
        <v/>
      </c>
      <c r="J115" s="765" t="str">
        <f>IF(Skills!O45&gt;"",Skills!O45,"")</f>
        <v/>
      </c>
      <c r="K115" s="765" t="str">
        <f>IF(Skills!P45&gt;"",Skills!P45,"")</f>
        <v/>
      </c>
      <c r="L115" s="765" t="str">
        <f>IF(Skills!Q45&gt;"",Skills!Q45,"")</f>
        <v/>
      </c>
    </row>
    <row r="116" spans="1:12" x14ac:dyDescent="0.2">
      <c r="A116" s="250" t="str">
        <f>IF(Skills!A46&lt;&gt;"",Skills!A46,"")</f>
        <v/>
      </c>
      <c r="B116" s="43" t="str">
        <f>IF(Skills!B46&lt;&gt;"",Skills!B46&amp;IF(AND(Skills!B46&lt;&gt;Skills!H46,Skills!H46&gt;=0)," ("&amp;Skills!H46&amp;")",""),"")</f>
        <v/>
      </c>
      <c r="C116" s="206" t="str">
        <f>IF(Skills!C46&lt;&gt;"",Skills!C46,"")</f>
        <v/>
      </c>
      <c r="D116" s="764" t="str">
        <f>IF(Skills!D46&lt;&gt;"",Skills!D46,"")</f>
        <v/>
      </c>
      <c r="E116" s="765" t="str">
        <f>IF(Skills!E46&gt;"",Skills!E46,"")</f>
        <v/>
      </c>
      <c r="F116" s="765" t="str">
        <f>IF(Skills!I46&gt;"",Skills!I46,"")</f>
        <v/>
      </c>
      <c r="G116" s="765" t="str">
        <f>IF(Skills!L46&gt;"",Skills!L46,"")</f>
        <v/>
      </c>
      <c r="H116" s="765" t="str">
        <f>IF(Skills!M46&gt;"",Skills!M46,"")</f>
        <v/>
      </c>
      <c r="I116" s="765" t="str">
        <f>IF(Skills!N46&gt;"",Skills!N46,"")</f>
        <v/>
      </c>
      <c r="J116" s="765" t="str">
        <f>IF(Skills!O46&gt;"",Skills!O46,"")</f>
        <v/>
      </c>
      <c r="K116" s="765" t="str">
        <f>IF(Skills!P46&gt;"",Skills!P46,"")</f>
        <v/>
      </c>
      <c r="L116" s="765" t="str">
        <f>IF(Skills!Q46&gt;"",Skills!Q46,"")</f>
        <v/>
      </c>
    </row>
    <row r="117" spans="1:12" x14ac:dyDescent="0.2">
      <c r="A117" s="250" t="str">
        <f>IF(Skills!A47&lt;&gt;"",Skills!A47,"")</f>
        <v>Thief</v>
      </c>
      <c r="B117" s="43" t="str">
        <f>IF(Skills!B47&lt;&gt;"",Skills!B47&amp;IF(AND(Skills!B47&lt;&gt;Skills!H47,Skills!H47&gt;=0)," ("&amp;Skills!H47&amp;")",""),"")</f>
        <v>Un</v>
      </c>
      <c r="C117" s="71" t="str">
        <f>IF(Skills!C47&lt;&gt;"",Skills!C47,"")</f>
        <v/>
      </c>
      <c r="D117" s="764" t="str">
        <f>IF(Skills!D47&lt;&gt;"",Skills!D47,"")</f>
        <v/>
      </c>
      <c r="E117" s="765" t="str">
        <f>IF(Skills!E47&gt;"",Skills!E47,"")</f>
        <v/>
      </c>
      <c r="F117" s="765" t="str">
        <f>IF(Skills!I47&gt;"",Skills!I47,"")</f>
        <v/>
      </c>
      <c r="G117" s="765" t="str">
        <f>IF(Skills!L47&gt;"",Skills!L47,"")</f>
        <v/>
      </c>
      <c r="H117" s="765" t="str">
        <f>IF(Skills!M47&gt;"",Skills!M47,"")</f>
        <v/>
      </c>
      <c r="I117" s="765" t="str">
        <f>IF(Skills!N47&gt;"",Skills!N47,"")</f>
        <v/>
      </c>
      <c r="J117" s="765" t="str">
        <f>IF(Skills!O47&gt;"",Skills!O47,"")</f>
        <v/>
      </c>
      <c r="K117" s="765" t="str">
        <f>IF(Skills!P47&gt;"",Skills!P47,"")</f>
        <v/>
      </c>
      <c r="L117" s="765" t="str">
        <f>IF(Skills!Q47&gt;"",Skills!Q47,"")</f>
        <v/>
      </c>
    </row>
    <row r="118" spans="1:12" x14ac:dyDescent="0.2">
      <c r="A118" s="250" t="str">
        <f>IF(Skills!A48&lt;&gt;"",Skills!A48,"")</f>
        <v/>
      </c>
      <c r="B118" s="43" t="str">
        <f>IF(Skills!B48&lt;&gt;"",Skills!B48&amp;IF(AND(Skills!B48&lt;&gt;Skills!H48,Skills!H48&gt;=0)," ("&amp;Skills!H48&amp;")",""),"")</f>
        <v/>
      </c>
      <c r="C118" s="71" t="str">
        <f>IF(Skills!C48&lt;&gt;"",Skills!C48,"")</f>
        <v/>
      </c>
      <c r="D118" s="778" t="str">
        <f>IF(Skills!D48&lt;&gt;"",Skills!D48,"")</f>
        <v/>
      </c>
      <c r="E118" s="779" t="str">
        <f>IF(Skills!E48&gt;"",Skills!E48,"")</f>
        <v/>
      </c>
      <c r="F118" s="779" t="str">
        <f>IF(Skills!I48&gt;"",Skills!I48,"")</f>
        <v/>
      </c>
      <c r="G118" s="779" t="str">
        <f>IF(Skills!L48&gt;"",Skills!L48,"")</f>
        <v/>
      </c>
      <c r="H118" s="779" t="str">
        <f>IF(Skills!M48&gt;"",Skills!M48,"")</f>
        <v/>
      </c>
      <c r="I118" s="779" t="str">
        <f>IF(Skills!N48&gt;"",Skills!N48,"")</f>
        <v/>
      </c>
      <c r="J118" s="779" t="str">
        <f>IF(Skills!O48&gt;"",Skills!O48,"")</f>
        <v/>
      </c>
      <c r="K118" s="779" t="str">
        <f>IF(Skills!P48&gt;"",Skills!P48,"")</f>
        <v/>
      </c>
      <c r="L118" s="779" t="str">
        <f>IF(Skills!Q48&gt;"",Skills!Q48,"")</f>
        <v/>
      </c>
    </row>
    <row r="119" spans="1:12" x14ac:dyDescent="0.2">
      <c r="A119" s="250" t="str">
        <f>IF(Skills!A49&lt;&gt;"",Skills!A49,"")</f>
        <v/>
      </c>
      <c r="B119" s="43" t="str">
        <f>IF(Skills!B49&lt;&gt;"",Skills!B49&amp;IF(AND(Skills!B49&lt;&gt;Skills!H49,Skills!H49&gt;=0)," ("&amp;Skills!H49&amp;")",""),"")</f>
        <v/>
      </c>
      <c r="C119" s="71" t="str">
        <f>IF(Skills!C49&lt;&gt;"",Skills!C49,"")</f>
        <v/>
      </c>
      <c r="D119" s="764" t="str">
        <f>IF(Skills!D49&lt;&gt;"",Skills!D49,"")</f>
        <v/>
      </c>
      <c r="E119" s="765" t="str">
        <f>IF(Skills!E49&gt;"",Skills!E49,"")</f>
        <v/>
      </c>
      <c r="F119" s="765" t="str">
        <f>IF(Skills!I49&gt;"",Skills!I49,"")</f>
        <v/>
      </c>
      <c r="G119" s="765" t="str">
        <f>IF(Skills!L49&gt;"",Skills!L49,"")</f>
        <v/>
      </c>
      <c r="H119" s="765" t="str">
        <f>IF(Skills!M49&gt;"",Skills!M49,"")</f>
        <v/>
      </c>
      <c r="I119" s="765" t="str">
        <f>IF(Skills!N49&gt;"",Skills!N49,"")</f>
        <v/>
      </c>
      <c r="J119" s="765" t="str">
        <f>IF(Skills!O49&gt;"",Skills!O49,"")</f>
        <v/>
      </c>
      <c r="K119" s="765" t="str">
        <f>IF(Skills!P49&gt;"",Skills!P49,"")</f>
        <v/>
      </c>
      <c r="L119" s="765" t="str">
        <f>IF(Skills!Q49&gt;"",Skills!Q49,"")</f>
        <v/>
      </c>
    </row>
    <row r="120" spans="1:12" x14ac:dyDescent="0.2">
      <c r="A120" s="250" t="str">
        <f>IF(Skills!A50&lt;&gt;"",Skills!A50,"")</f>
        <v/>
      </c>
      <c r="B120" s="43" t="str">
        <f>IF(Skills!B50&lt;&gt;"",Skills!B50&amp;IF(AND(Skills!B50&lt;&gt;Skills!H50,Skills!H50&gt;=0)," ("&amp;Skills!H50&amp;")",""),"")</f>
        <v/>
      </c>
      <c r="C120" s="71" t="str">
        <f>IF(Skills!C50&lt;&gt;"",Skills!C50,"")</f>
        <v/>
      </c>
      <c r="D120" s="764" t="str">
        <f>IF(Skills!D50&lt;&gt;"",Skills!D50,"")</f>
        <v/>
      </c>
      <c r="E120" s="765" t="str">
        <f>IF(Skills!E50&gt;"",Skills!E50,"")</f>
        <v/>
      </c>
      <c r="F120" s="765" t="str">
        <f>IF(Skills!I50&gt;"",Skills!I50,"")</f>
        <v/>
      </c>
      <c r="G120" s="765" t="str">
        <f>IF(Skills!L50&gt;"",Skills!L50,"")</f>
        <v/>
      </c>
      <c r="H120" s="765" t="str">
        <f>IF(Skills!M50&gt;"",Skills!M50,"")</f>
        <v/>
      </c>
      <c r="I120" s="765" t="str">
        <f>IF(Skills!N50&gt;"",Skills!N50,"")</f>
        <v/>
      </c>
      <c r="J120" s="765" t="str">
        <f>IF(Skills!O50&gt;"",Skills!O50,"")</f>
        <v/>
      </c>
      <c r="K120" s="765" t="str">
        <f>IF(Skills!P50&gt;"",Skills!P50,"")</f>
        <v/>
      </c>
      <c r="L120" s="765" t="str">
        <f>IF(Skills!Q50&gt;"",Skills!Q50,"")</f>
        <v/>
      </c>
    </row>
    <row r="121" spans="1:12" x14ac:dyDescent="0.2">
      <c r="A121" s="250" t="str">
        <f>IF(Skills!A51&lt;&gt;"",Skills!A51,"")</f>
        <v/>
      </c>
      <c r="B121" s="43" t="str">
        <f>IF(Skills!B51&lt;&gt;"",Skills!B51&amp;IF(AND(Skills!B51&lt;&gt;Skills!H51,Skills!H51&gt;=0)," ("&amp;Skills!H51&amp;")",""),"")</f>
        <v/>
      </c>
      <c r="C121" s="71" t="str">
        <f>IF(Skills!C51&lt;&gt;"",Skills!C51,"")</f>
        <v/>
      </c>
      <c r="D121" s="764" t="str">
        <f>IF(Skills!D51&lt;&gt;"",Skills!D51,"")</f>
        <v/>
      </c>
      <c r="E121" s="765" t="str">
        <f>IF(Skills!E51&gt;"",Skills!E51,"")</f>
        <v/>
      </c>
      <c r="F121" s="765" t="str">
        <f>IF(Skills!I51&gt;"",Skills!I51,"")</f>
        <v/>
      </c>
      <c r="G121" s="765" t="str">
        <f>IF(Skills!L51&gt;"",Skills!L51,"")</f>
        <v/>
      </c>
      <c r="H121" s="765" t="str">
        <f>IF(Skills!M51&gt;"",Skills!M51,"")</f>
        <v/>
      </c>
      <c r="I121" s="765" t="str">
        <f>IF(Skills!N51&gt;"",Skills!N51,"")</f>
        <v/>
      </c>
      <c r="J121" s="765" t="str">
        <f>IF(Skills!O51&gt;"",Skills!O51,"")</f>
        <v/>
      </c>
      <c r="K121" s="765" t="str">
        <f>IF(Skills!P51&gt;"",Skills!P51,"")</f>
        <v/>
      </c>
      <c r="L121" s="765" t="str">
        <f>IF(Skills!Q51&gt;"",Skills!Q51,"")</f>
        <v/>
      </c>
    </row>
    <row r="122" spans="1:12" x14ac:dyDescent="0.2">
      <c r="A122" s="250" t="str">
        <f>IF(Skills!A52&lt;&gt;"",Skills!A52,"")</f>
        <v/>
      </c>
      <c r="B122" s="43" t="str">
        <f>IF(Skills!B52&lt;&gt;"",Skills!B52&amp;IF(AND(Skills!B52&lt;&gt;Skills!H52,Skills!H52&gt;=0)," ("&amp;Skills!H52&amp;")",""),"")</f>
        <v/>
      </c>
      <c r="C122" s="71" t="str">
        <f>IF(Skills!C52&lt;&gt;"",Skills!C52,"")</f>
        <v/>
      </c>
      <c r="D122" s="764" t="str">
        <f>IF(Skills!D52&lt;&gt;"",Skills!D52,"")</f>
        <v/>
      </c>
      <c r="E122" s="765" t="str">
        <f>IF(Skills!E52&gt;"",Skills!E52,"")</f>
        <v/>
      </c>
      <c r="F122" s="765" t="str">
        <f>IF(Skills!I52&gt;"",Skills!I52,"")</f>
        <v/>
      </c>
      <c r="G122" s="765" t="str">
        <f>IF(Skills!L52&gt;"",Skills!L52,"")</f>
        <v/>
      </c>
      <c r="H122" s="765" t="str">
        <f>IF(Skills!M52&gt;"",Skills!M52,"")</f>
        <v/>
      </c>
      <c r="I122" s="765" t="str">
        <f>IF(Skills!N52&gt;"",Skills!N52,"")</f>
        <v/>
      </c>
      <c r="J122" s="765" t="str">
        <f>IF(Skills!O52&gt;"",Skills!O52,"")</f>
        <v/>
      </c>
      <c r="K122" s="765" t="str">
        <f>IF(Skills!P52&gt;"",Skills!P52,"")</f>
        <v/>
      </c>
      <c r="L122" s="765" t="str">
        <f>IF(Skills!Q52&gt;"",Skills!Q52,"")</f>
        <v/>
      </c>
    </row>
    <row r="123" spans="1:12" x14ac:dyDescent="0.2">
      <c r="A123" s="250" t="str">
        <f>IF(Skills!A53&lt;&gt;"",Skills!A53,"")</f>
        <v/>
      </c>
      <c r="B123" s="43" t="str">
        <f>IF(Skills!B53&lt;&gt;"",Skills!B53&amp;IF(AND(Skills!B53&lt;&gt;Skills!H53,Skills!H53&gt;=0)," ("&amp;Skills!H53&amp;")",""),"")</f>
        <v/>
      </c>
      <c r="C123" s="71" t="str">
        <f>IF(Skills!C53&lt;&gt;"",Skills!C53,"")</f>
        <v/>
      </c>
      <c r="D123" s="764" t="str">
        <f>IF(Skills!D53&lt;&gt;"",Skills!D53,"")</f>
        <v/>
      </c>
      <c r="E123" s="765" t="str">
        <f>IF(Skills!E53&gt;"",Skills!E53,"")</f>
        <v/>
      </c>
      <c r="F123" s="765" t="str">
        <f>IF(Skills!I53&gt;"",Skills!I53,"")</f>
        <v/>
      </c>
      <c r="G123" s="765" t="str">
        <f>IF(Skills!L53&gt;"",Skills!L53,"")</f>
        <v/>
      </c>
      <c r="H123" s="765" t="str">
        <f>IF(Skills!M53&gt;"",Skills!M53,"")</f>
        <v/>
      </c>
      <c r="I123" s="765" t="str">
        <f>IF(Skills!N53&gt;"",Skills!N53,"")</f>
        <v/>
      </c>
      <c r="J123" s="765" t="str">
        <f>IF(Skills!O53&gt;"",Skills!O53,"")</f>
        <v/>
      </c>
      <c r="K123" s="765" t="str">
        <f>IF(Skills!P53&gt;"",Skills!P53,"")</f>
        <v/>
      </c>
      <c r="L123" s="765" t="str">
        <f>IF(Skills!Q53&gt;"",Skills!Q53,"")</f>
        <v/>
      </c>
    </row>
    <row r="124" spans="1:12" x14ac:dyDescent="0.2">
      <c r="A124" s="250" t="str">
        <f>IF(Skills!A54&lt;&gt;"",Skills!A54,"")</f>
        <v/>
      </c>
      <c r="B124" s="43" t="str">
        <f>IF(Skills!B54&lt;&gt;"",Skills!B54&amp;IF(AND(Skills!B54&lt;&gt;Skills!H54,Skills!H54&gt;=0)," ("&amp;Skills!H54&amp;")",""),"")</f>
        <v/>
      </c>
      <c r="C124" s="71" t="str">
        <f>IF(Skills!C54&lt;&gt;"",Skills!C54,"")</f>
        <v/>
      </c>
      <c r="D124" s="764" t="str">
        <f>IF(Skills!D54&lt;&gt;"",Skills!D54,"")</f>
        <v/>
      </c>
      <c r="E124" s="765" t="str">
        <f>IF(Skills!E54&gt;"",Skills!E54,"")</f>
        <v/>
      </c>
      <c r="F124" s="765" t="str">
        <f>IF(Skills!I54&gt;"",Skills!I54,"")</f>
        <v/>
      </c>
      <c r="G124" s="765" t="str">
        <f>IF(Skills!L54&gt;"",Skills!L54,"")</f>
        <v/>
      </c>
      <c r="H124" s="765" t="str">
        <f>IF(Skills!M54&gt;"",Skills!M54,"")</f>
        <v/>
      </c>
      <c r="I124" s="765" t="str">
        <f>IF(Skills!N54&gt;"",Skills!N54,"")</f>
        <v/>
      </c>
      <c r="J124" s="765" t="str">
        <f>IF(Skills!O54&gt;"",Skills!O54,"")</f>
        <v/>
      </c>
      <c r="K124" s="765" t="str">
        <f>IF(Skills!P54&gt;"",Skills!P54,"")</f>
        <v/>
      </c>
      <c r="L124" s="765" t="str">
        <f>IF(Skills!Q54&gt;"",Skills!Q54,"")</f>
        <v/>
      </c>
    </row>
    <row r="125" spans="1:12" x14ac:dyDescent="0.2">
      <c r="A125" s="250" t="str">
        <f>IF(Skills!A55&lt;&gt;"",Skills!A55,"")</f>
        <v/>
      </c>
      <c r="B125" s="43" t="str">
        <f>IF(Skills!B55&lt;&gt;"",Skills!B55&amp;IF(AND(Skills!B55&lt;&gt;Skills!H55,Skills!H55&gt;=0)," ("&amp;Skills!H55&amp;")",""),"")</f>
        <v/>
      </c>
      <c r="C125" s="71" t="str">
        <f>IF(Skills!C55&lt;&gt;"",Skills!C55,"")</f>
        <v/>
      </c>
      <c r="D125" s="764" t="str">
        <f>IF(Skills!D55&lt;&gt;"",Skills!D55,"")</f>
        <v/>
      </c>
      <c r="E125" s="765" t="str">
        <f>IF(Skills!E55&gt;"",Skills!E55,"")</f>
        <v/>
      </c>
      <c r="F125" s="765" t="str">
        <f>IF(Skills!I55&gt;"",Skills!I55,"")</f>
        <v/>
      </c>
      <c r="G125" s="765" t="str">
        <f>IF(Skills!L55&gt;"",Skills!L55,"")</f>
        <v/>
      </c>
      <c r="H125" s="765" t="str">
        <f>IF(Skills!M55&gt;"",Skills!M55,"")</f>
        <v/>
      </c>
      <c r="I125" s="765" t="str">
        <f>IF(Skills!N55&gt;"",Skills!N55,"")</f>
        <v/>
      </c>
      <c r="J125" s="765" t="str">
        <f>IF(Skills!O55&gt;"",Skills!O55,"")</f>
        <v/>
      </c>
      <c r="K125" s="765" t="str">
        <f>IF(Skills!P55&gt;"",Skills!P55,"")</f>
        <v/>
      </c>
      <c r="L125" s="765" t="str">
        <f>IF(Skills!Q55&gt;"",Skills!Q55,"")</f>
        <v/>
      </c>
    </row>
    <row r="126" spans="1:12" x14ac:dyDescent="0.2">
      <c r="A126" s="250" t="str">
        <f>IF(Skills!A56&lt;&gt;"",Skills!A56,"")</f>
        <v>Troubadour</v>
      </c>
      <c r="B126" s="43" t="str">
        <f>IF(Skills!B56&lt;&gt;"",Skills!B56&amp;IF(AND(Skills!B56&lt;&gt;Skills!H56,Skills!H56&gt;=0)," ("&amp;Skills!H56&amp;")",""),"")</f>
        <v>Un</v>
      </c>
      <c r="C126" s="71" t="str">
        <f>IF(Skills!C56&lt;&gt;"",Skills!C56,"")</f>
        <v/>
      </c>
      <c r="D126" s="764" t="str">
        <f>IF(Skills!D56&lt;&gt;"",Skills!D56,"")</f>
        <v>Selected abilities?</v>
      </c>
      <c r="E126" s="765" t="str">
        <f>IF(Skills!E56&gt;"",Skills!E56,"")</f>
        <v/>
      </c>
      <c r="F126" s="765" t="str">
        <f>IF(Skills!I56&gt;"",Skills!I56,"")</f>
        <v/>
      </c>
      <c r="G126" s="765" t="str">
        <f>IF(Skills!L56&gt;"",Skills!L56,"")</f>
        <v/>
      </c>
      <c r="H126" s="765" t="str">
        <f>IF(Skills!M56&gt;"",Skills!M56,"")</f>
        <v/>
      </c>
      <c r="I126" s="765" t="str">
        <f>IF(Skills!N56&gt;"",Skills!N56,"")</f>
        <v/>
      </c>
      <c r="J126" s="765" t="str">
        <f>IF(Skills!O56&gt;"",Skills!O56,"")</f>
        <v/>
      </c>
      <c r="K126" s="765" t="str">
        <f>IF(Skills!P56&gt;"",Skills!P56,"")</f>
        <v/>
      </c>
      <c r="L126" s="765" t="str">
        <f>IF(Skills!Q56&gt;"",Skills!Q56,"")</f>
        <v/>
      </c>
    </row>
    <row r="127" spans="1:12" x14ac:dyDescent="0.2">
      <c r="A127" s="251" t="str">
        <f>IF(Skills!A57&lt;&gt;"",Skills!A57,"")</f>
        <v/>
      </c>
      <c r="B127" s="43" t="str">
        <f>IF(Skills!B57&lt;&gt;"",Skills!B57&amp;IF(AND(Skills!B57&lt;&gt;Skills!H57,Skills!H57&gt;=0)," ("&amp;Skills!H57&amp;")",""),"")</f>
        <v/>
      </c>
      <c r="C127" s="71" t="str">
        <f>IF(Skills!C57&lt;&gt;"",Skills!C57,"")</f>
        <v/>
      </c>
      <c r="D127" s="764" t="str">
        <f>IF(Skills!D57&lt;&gt;"",Skills!D57,"")</f>
        <v/>
      </c>
      <c r="E127" s="765" t="str">
        <f>IF(Skills!E57&gt;"",Skills!E57,"")</f>
        <v/>
      </c>
      <c r="F127" s="765" t="str">
        <f>IF(Skills!I57&gt;"",Skills!I57,"")</f>
        <v/>
      </c>
      <c r="G127" s="765" t="str">
        <f>IF(Skills!L57&gt;"",Skills!L57,"")</f>
        <v/>
      </c>
      <c r="H127" s="765" t="str">
        <f>IF(Skills!M57&gt;"",Skills!M57,"")</f>
        <v/>
      </c>
      <c r="I127" s="765" t="str">
        <f>IF(Skills!N57&gt;"",Skills!N57,"")</f>
        <v/>
      </c>
      <c r="J127" s="765" t="str">
        <f>IF(Skills!O57&gt;"",Skills!O57,"")</f>
        <v/>
      </c>
      <c r="K127" s="765" t="str">
        <f>IF(Skills!P57&gt;"",Skills!P57,"")</f>
        <v/>
      </c>
      <c r="L127" s="765" t="str">
        <f>IF(Skills!Q57&gt;"",Skills!Q57,"")</f>
        <v/>
      </c>
    </row>
    <row r="128" spans="1:12" x14ac:dyDescent="0.2">
      <c r="A128" s="250" t="str">
        <f>IF(Skills!A58&lt;&gt;"",Skills!A58,"")</f>
        <v>Warrior</v>
      </c>
      <c r="B128" s="43" t="str">
        <f>IF(Skills!B58&lt;&gt;"",Skills!B58&amp;IF(AND(Skills!B58&lt;&gt;Skills!H58,Skills!H58&gt;=0)," ("&amp;Skills!H58&amp;")",""),"")</f>
        <v>Un</v>
      </c>
      <c r="C128" s="71" t="str">
        <f>IF(Skills!C58&lt;&gt;"",Skills!C58,"")</f>
        <v/>
      </c>
      <c r="D128" s="764" t="str">
        <f>IF(Skills!D58&lt;&gt;"",Skills!D58,"")</f>
        <v/>
      </c>
      <c r="E128" s="765" t="str">
        <f>IF(Skills!E58&gt;"",Skills!E58,"")</f>
        <v/>
      </c>
      <c r="F128" s="765" t="str">
        <f>IF(Skills!I58&gt;"",Skills!I58,"")</f>
        <v/>
      </c>
      <c r="G128" s="765" t="str">
        <f>IF(Skills!L58&gt;"",Skills!L58,"")</f>
        <v/>
      </c>
      <c r="H128" s="765" t="str">
        <f>IF(Skills!M58&gt;"",Skills!M58,"")</f>
        <v/>
      </c>
      <c r="I128" s="765" t="str">
        <f>IF(Skills!N58&gt;"",Skills!N58,"")</f>
        <v/>
      </c>
      <c r="J128" s="765" t="str">
        <f>IF(Skills!O58&gt;"",Skills!O58,"")</f>
        <v/>
      </c>
      <c r="K128" s="765" t="str">
        <f>IF(Skills!P58&gt;"",Skills!P58,"")</f>
        <v/>
      </c>
      <c r="L128" s="765" t="str">
        <f>IF(Skills!Q58&gt;"",Skills!Q58,"")</f>
        <v/>
      </c>
    </row>
    <row r="129" spans="1:12" x14ac:dyDescent="0.2">
      <c r="A129" s="603" t="str">
        <f>IF(Skills!A59&lt;&gt;"",Skills!A59,"")</f>
        <v>Extra Warrior Abilities</v>
      </c>
      <c r="B129" s="43" t="str">
        <f>IF(Skills!B59&lt;&gt;"",Skills!B59&amp;IF(AND(Skills!B59&lt;&gt;Skills!H59,Skills!H59&gt;=0)," ("&amp;Skills!H59&amp;")",""),"")</f>
        <v>0</v>
      </c>
      <c r="C129" s="71" t="str">
        <f>IF(Skills!C59&lt;&gt;"",Skills!C59,"")</f>
        <v/>
      </c>
      <c r="D129" s="764" t="str">
        <f>IF(Skills!D59&lt;&gt;"",Skills!D59,"")</f>
        <v/>
      </c>
      <c r="E129" s="765" t="str">
        <f>IF(Skills!E59&gt;"",Skills!E59,"")</f>
        <v/>
      </c>
      <c r="F129" s="765" t="str">
        <f>IF(Skills!I59&gt;"",Skills!I59,"")</f>
        <v/>
      </c>
      <c r="G129" s="765" t="str">
        <f>IF(Skills!L59&gt;"",Skills!L59,"")</f>
        <v/>
      </c>
      <c r="H129" s="765" t="str">
        <f>IF(Skills!M59&gt;"",Skills!M59,"")</f>
        <v/>
      </c>
      <c r="I129" s="765" t="str">
        <f>IF(Skills!N59&gt;"",Skills!N59,"")</f>
        <v/>
      </c>
      <c r="J129" s="765" t="str">
        <f>IF(Skills!O59&gt;"",Skills!O59,"")</f>
        <v/>
      </c>
      <c r="K129" s="765" t="str">
        <f>IF(Skills!P59&gt;"",Skills!P59,"")</f>
        <v/>
      </c>
      <c r="L129" s="765" t="str">
        <f>IF(Skills!Q59&gt;"",Skills!Q59,"")</f>
        <v/>
      </c>
    </row>
    <row r="130" spans="1:12" x14ac:dyDescent="0.2">
      <c r="A130" s="250" t="str">
        <f>IF(Skills!A60&lt;&gt;"",Skills!A60,"")</f>
        <v/>
      </c>
      <c r="B130" s="43" t="str">
        <f>IF(Skills!B60&lt;&gt;"",Skills!B60&amp;IF(AND(Skills!B60&lt;&gt;Skills!H60,Skills!H60&gt;=0)," ("&amp;Skills!H60&amp;")",""),"")</f>
        <v/>
      </c>
      <c r="C130" s="71" t="str">
        <f>IF(Skills!C60&lt;&gt;"",Skills!C60,"")</f>
        <v/>
      </c>
      <c r="D130" s="764" t="str">
        <f>IF(Skills!D60&lt;&gt;"",Skills!D60,"")</f>
        <v/>
      </c>
      <c r="E130" s="765" t="str">
        <f>IF(Skills!E60&gt;"",Skills!E60,"")</f>
        <v/>
      </c>
      <c r="F130" s="765" t="str">
        <f>IF(Skills!I60&gt;"",Skills!I60,"")</f>
        <v/>
      </c>
      <c r="G130" s="765" t="str">
        <f>IF(Skills!L60&gt;"",Skills!L60,"")</f>
        <v/>
      </c>
      <c r="H130" s="765" t="str">
        <f>IF(Skills!M60&gt;"",Skills!M60,"")</f>
        <v/>
      </c>
      <c r="I130" s="765" t="str">
        <f>IF(Skills!N60&gt;"",Skills!N60,"")</f>
        <v/>
      </c>
      <c r="J130" s="765" t="str">
        <f>IF(Skills!O60&gt;"",Skills!O60,"")</f>
        <v/>
      </c>
      <c r="K130" s="765" t="str">
        <f>IF(Skills!P60&gt;"",Skills!P60,"")</f>
        <v/>
      </c>
      <c r="L130" s="765" t="str">
        <f>IF(Skills!Q60&gt;"",Skills!Q60,"")</f>
        <v/>
      </c>
    </row>
    <row r="131" spans="1:12" x14ac:dyDescent="0.2">
      <c r="A131" s="250" t="str">
        <f>IF(Skills!A61&lt;&gt;"",Skills!A61,"")</f>
        <v>Weaponsmith</v>
      </c>
      <c r="B131" s="43" t="str">
        <f>IF(Skills!B61&lt;&gt;"",Skills!B61&amp;IF(AND(Skills!B61&lt;&gt;Skills!H61,Skills!H61&gt;=0)," ("&amp;Skills!H61&amp;")",""),"")</f>
        <v>Un</v>
      </c>
      <c r="C131" s="71" t="str">
        <f>IF(Skills!C61&lt;&gt;"",Skills!C61,"")</f>
        <v/>
      </c>
      <c r="D131" s="764" t="str">
        <f>IF(Skills!D61&lt;&gt;"",Skills!D61,"")</f>
        <v>Selected categories?</v>
      </c>
      <c r="E131" s="765" t="str">
        <f>IF(Skills!E61&gt;"",Skills!E61,"")</f>
        <v/>
      </c>
      <c r="F131" s="765" t="str">
        <f>IF(Skills!I61&gt;"",Skills!I61,"")</f>
        <v/>
      </c>
      <c r="G131" s="765" t="str">
        <f>IF(Skills!L61&gt;"",Skills!L61,"")</f>
        <v/>
      </c>
      <c r="H131" s="765" t="str">
        <f>IF(Skills!M61&gt;"",Skills!M61,"")</f>
        <v/>
      </c>
      <c r="I131" s="765" t="str">
        <f>IF(Skills!N61&gt;"",Skills!N61,"")</f>
        <v/>
      </c>
      <c r="J131" s="765" t="str">
        <f>IF(Skills!O61&gt;"",Skills!O61,"")</f>
        <v/>
      </c>
      <c r="K131" s="765" t="str">
        <f>IF(Skills!P61&gt;"",Skills!P61,"")</f>
        <v/>
      </c>
      <c r="L131" s="765" t="str">
        <f>IF(Skills!Q61&gt;"",Skills!Q61,"")</f>
        <v/>
      </c>
    </row>
    <row r="132" spans="1:12" x14ac:dyDescent="0.2">
      <c r="A132" s="250" t="str">
        <f>IF(Skills!A62&lt;&gt;"",Skills!A62,"")</f>
        <v/>
      </c>
      <c r="B132" s="43" t="str">
        <f>IF(Skills!B62&lt;&gt;"",Skills!B62&amp;IF(AND(Skills!B62&lt;&gt;Skills!H62,Skills!H62&gt;=0)," ("&amp;Skills!H62&amp;")",""),"")</f>
        <v/>
      </c>
      <c r="C132" s="71" t="str">
        <f>IF(Skills!C62&lt;&gt;"",Skills!C62,"")</f>
        <v/>
      </c>
      <c r="D132" s="764" t="str">
        <f>IF(Skills!D62&lt;&gt;"",Skills!D62,"")</f>
        <v/>
      </c>
      <c r="E132" s="765" t="str">
        <f>IF(Skills!E62&gt;"",Skills!E62,"")</f>
        <v/>
      </c>
      <c r="F132" s="765" t="str">
        <f>IF(Skills!I62&gt;"",Skills!I62,"")</f>
        <v/>
      </c>
      <c r="G132" s="765" t="str">
        <f>IF(Skills!L62&gt;"",Skills!L62,"")</f>
        <v/>
      </c>
      <c r="H132" s="765" t="str">
        <f>IF(Skills!M62&gt;"",Skills!M62,"")</f>
        <v/>
      </c>
      <c r="I132" s="765" t="str">
        <f>IF(Skills!N62&gt;"",Skills!N62,"")</f>
        <v/>
      </c>
      <c r="J132" s="765" t="str">
        <f>IF(Skills!O62&gt;"",Skills!O62,"")</f>
        <v/>
      </c>
      <c r="K132" s="765" t="str">
        <f>IF(Skills!P62&gt;"",Skills!P62,"")</f>
        <v/>
      </c>
      <c r="L132" s="765" t="str">
        <f>IF(Skills!Q62&gt;"",Skills!Q62,"")</f>
        <v/>
      </c>
    </row>
    <row r="133" spans="1:12" x14ac:dyDescent="0.2">
      <c r="A133" s="250" t="str">
        <f>IF(Skills!A63&lt;&gt;"",Skills!A63,"")</f>
        <v>Cook</v>
      </c>
      <c r="B133" s="43" t="str">
        <f>IF(Skills!B63&lt;&gt;"",Skills!B63&amp;IF(AND(Skills!B63&lt;&gt;Skills!H63,Skills!H63&gt;=0)," ("&amp;Skills!H63&amp;")",""),"")</f>
        <v>Un</v>
      </c>
      <c r="C133" s="71" t="str">
        <f>IF(Skills!C63&lt;&gt;"",Skills!C63,"")</f>
        <v/>
      </c>
      <c r="D133" s="764" t="str">
        <f>IF(Skills!D63&lt;&gt;"",Skills!D63,"")</f>
        <v/>
      </c>
      <c r="E133" s="765" t="str">
        <f>IF(Skills!E63&gt;"",Skills!E63,"")</f>
        <v/>
      </c>
      <c r="F133" s="765" t="str">
        <f>IF(Skills!I63&gt;"",Skills!I63,"")</f>
        <v/>
      </c>
      <c r="G133" s="765" t="str">
        <f>IF(Skills!L63&gt;"",Skills!L63,"")</f>
        <v/>
      </c>
      <c r="H133" s="765" t="str">
        <f>IF(Skills!M63&gt;"",Skills!M63,"")</f>
        <v/>
      </c>
      <c r="I133" s="765" t="str">
        <f>IF(Skills!N63&gt;"",Skills!N63,"")</f>
        <v/>
      </c>
      <c r="J133" s="765" t="str">
        <f>IF(Skills!O63&gt;"",Skills!O63,"")</f>
        <v/>
      </c>
      <c r="K133" s="765" t="str">
        <f>IF(Skills!P63&gt;"",Skills!P63,"")</f>
        <v/>
      </c>
      <c r="L133" s="765" t="str">
        <f>IF(Skills!Q63&gt;"",Skills!Q63,"")</f>
        <v/>
      </c>
    </row>
    <row r="134" spans="1:12" x14ac:dyDescent="0.2">
      <c r="A134" s="250" t="str">
        <f>IF(Skills!A64&lt;&gt;"",Skills!A64,"")</f>
        <v>Blacksmith</v>
      </c>
      <c r="B134" s="43" t="str">
        <f>IF(Skills!B64&lt;&gt;"",Skills!B64&amp;IF(AND(Skills!B64&lt;&gt;Skills!H64,Skills!H64&gt;=0)," ("&amp;Skills!H64&amp;")",""),"")</f>
        <v>Un</v>
      </c>
      <c r="C134" s="71" t="str">
        <f>IF(Skills!C64&lt;&gt;"",Skills!C64,"")</f>
        <v/>
      </c>
      <c r="D134" s="764" t="str">
        <f>IF(Skills!D64&lt;&gt;"",Skills!D64,"")</f>
        <v/>
      </c>
      <c r="E134" s="765" t="str">
        <f>IF(Skills!E64&gt;"",Skills!E64,"")</f>
        <v/>
      </c>
      <c r="F134" s="765" t="str">
        <f>IF(Skills!I64&gt;"",Skills!I64,"")</f>
        <v/>
      </c>
      <c r="G134" s="765" t="str">
        <f>IF(Skills!L64&gt;"",Skills!L64,"")</f>
        <v/>
      </c>
      <c r="H134" s="765" t="str">
        <f>IF(Skills!M64&gt;"",Skills!M64,"")</f>
        <v/>
      </c>
      <c r="I134" s="765" t="str">
        <f>IF(Skills!N64&gt;"",Skills!N64,"")</f>
        <v/>
      </c>
      <c r="J134" s="765" t="str">
        <f>IF(Skills!O64&gt;"",Skills!O64,"")</f>
        <v/>
      </c>
      <c r="K134" s="765" t="str">
        <f>IF(Skills!P64&gt;"",Skills!P64,"")</f>
        <v/>
      </c>
      <c r="L134" s="765" t="str">
        <f>IF(Skills!Q64&gt;"",Skills!Q64,"")</f>
        <v/>
      </c>
    </row>
    <row r="135" spans="1:12" x14ac:dyDescent="0.2">
      <c r="A135" s="250" t="str">
        <f>IF(Skills!A65&lt;&gt;"",Skills!A65,"")</f>
        <v>Seamanship</v>
      </c>
      <c r="B135" s="43" t="str">
        <f>IF(Skills!B65&lt;&gt;"",Skills!B65&amp;IF(AND(Skills!B65&lt;&gt;Skills!H65,Skills!H65&gt;=0)," ("&amp;Skills!H65&amp;")",""),"")</f>
        <v>Un</v>
      </c>
      <c r="C135" s="71" t="str">
        <f>IF(Skills!C65&lt;&gt;"",Skills!C65,"")</f>
        <v/>
      </c>
      <c r="D135" s="764" t="str">
        <f>IF(Skills!D65&lt;&gt;"",Skills!D65,"")</f>
        <v/>
      </c>
      <c r="E135" s="765" t="str">
        <f>IF(Skills!E65&gt;"",Skills!E65,"")</f>
        <v/>
      </c>
      <c r="F135" s="765" t="str">
        <f>IF(Skills!I65&gt;"",Skills!I65,"")</f>
        <v/>
      </c>
      <c r="G135" s="765" t="str">
        <f>IF(Skills!L65&gt;"",Skills!L65,"")</f>
        <v/>
      </c>
      <c r="H135" s="765" t="str">
        <f>IF(Skills!M65&gt;"",Skills!M65,"")</f>
        <v/>
      </c>
      <c r="I135" s="765" t="str">
        <f>IF(Skills!N65&gt;"",Skills!N65,"")</f>
        <v/>
      </c>
      <c r="J135" s="765" t="str">
        <f>IF(Skills!O65&gt;"",Skills!O65,"")</f>
        <v/>
      </c>
      <c r="K135" s="765" t="str">
        <f>IF(Skills!P65&gt;"",Skills!P65,"")</f>
        <v/>
      </c>
      <c r="L135" s="765" t="str">
        <f>IF(Skills!Q65&gt;"",Skills!Q65,"")</f>
        <v/>
      </c>
    </row>
    <row r="136" spans="1:12" x14ac:dyDescent="0.2">
      <c r="A136" s="250" t="str">
        <f>IF(Skills!A66&lt;&gt;"",Skills!A66,"")</f>
        <v>Artisan ?</v>
      </c>
      <c r="B136" s="43" t="str">
        <f>IF(Skills!B66&lt;&gt;"",Skills!B66&amp;IF(AND(Skills!B66&lt;&gt;Skills!H66,Skills!H66&gt;=0)," ("&amp;Skills!H66&amp;")",""),"")</f>
        <v>Un</v>
      </c>
      <c r="C136" s="71" t="str">
        <f>IF(Skills!C66&lt;&gt;"",Skills!C66,"")</f>
        <v/>
      </c>
      <c r="D136" s="764" t="str">
        <f>IF(Skills!D66&lt;&gt;"",Skills!D66,"")</f>
        <v/>
      </c>
      <c r="E136" s="765" t="str">
        <f>IF(Skills!E66&gt;"",Skills!E66,"")</f>
        <v/>
      </c>
      <c r="F136" s="765" t="str">
        <f>IF(Skills!I66&gt;"",Skills!I66,"")</f>
        <v/>
      </c>
      <c r="G136" s="765" t="str">
        <f>IF(Skills!L66&gt;"",Skills!L66,"")</f>
        <v/>
      </c>
      <c r="H136" s="765" t="str">
        <f>IF(Skills!M66&gt;"",Skills!M66,"")</f>
        <v/>
      </c>
      <c r="I136" s="765" t="str">
        <f>IF(Skills!N66&gt;"",Skills!N66,"")</f>
        <v/>
      </c>
      <c r="J136" s="765" t="str">
        <f>IF(Skills!O66&gt;"",Skills!O66,"")</f>
        <v/>
      </c>
      <c r="K136" s="765" t="str">
        <f>IF(Skills!P66&gt;"",Skills!P66,"")</f>
        <v/>
      </c>
      <c r="L136" s="765" t="str">
        <f>IF(Skills!Q66&gt;"",Skills!Q66,"")</f>
        <v/>
      </c>
    </row>
    <row r="137" spans="1:12" x14ac:dyDescent="0.2">
      <c r="A137" s="250" t="str">
        <f>IF(Skills!A67&lt;&gt;"",Skills!A67,"")</f>
        <v>Artisan ?</v>
      </c>
      <c r="B137" s="43" t="str">
        <f>IF(Skills!B67&lt;&gt;"",Skills!B67&amp;IF(AND(Skills!B67&lt;&gt;Skills!H67,Skills!H67&gt;=0)," ("&amp;Skills!H67&amp;")",""),"")</f>
        <v>Un</v>
      </c>
      <c r="C137" s="71" t="str">
        <f>IF(Skills!C67&lt;&gt;"",Skills!C67,"")</f>
        <v/>
      </c>
      <c r="D137" s="764" t="str">
        <f>IF(Skills!D67&lt;&gt;"",Skills!D67,"")</f>
        <v/>
      </c>
      <c r="E137" s="765" t="str">
        <f>IF(Skills!E67&gt;"",Skills!E67,"")</f>
        <v/>
      </c>
      <c r="F137" s="765" t="str">
        <f>IF(Skills!I67&gt;"",Skills!I67,"")</f>
        <v/>
      </c>
      <c r="G137" s="765" t="str">
        <f>IF(Skills!L67&gt;"",Skills!L67,"")</f>
        <v/>
      </c>
      <c r="H137" s="765" t="str">
        <f>IF(Skills!M67&gt;"",Skills!M67,"")</f>
        <v/>
      </c>
      <c r="I137" s="765" t="str">
        <f>IF(Skills!N67&gt;"",Skills!N67,"")</f>
        <v/>
      </c>
      <c r="J137" s="765" t="str">
        <f>IF(Skills!O67&gt;"",Skills!O67,"")</f>
        <v/>
      </c>
      <c r="K137" s="765" t="str">
        <f>IF(Skills!P67&gt;"",Skills!P67,"")</f>
        <v/>
      </c>
      <c r="L137" s="765" t="str">
        <f>IF(Skills!Q67&gt;"",Skills!Q67,"")</f>
        <v/>
      </c>
    </row>
    <row r="138" spans="1:12" x14ac:dyDescent="0.2">
      <c r="A138" s="250" t="str">
        <f>IF(Skills!A68&lt;&gt;"",Skills!A68,"")</f>
        <v>Artisan ?</v>
      </c>
      <c r="B138" s="43" t="str">
        <f>IF(Skills!B68&lt;&gt;"",Skills!B68&amp;IF(AND(Skills!B68&lt;&gt;Skills!H68,Skills!H68&gt;=0)," ("&amp;Skills!H68&amp;")",""),"")</f>
        <v>Un</v>
      </c>
      <c r="C138" s="71" t="str">
        <f>IF(Skills!C68&lt;&gt;"",Skills!C68,"")</f>
        <v/>
      </c>
      <c r="D138" s="764" t="str">
        <f>IF(Skills!D68&lt;&gt;"",Skills!D68,"")</f>
        <v/>
      </c>
      <c r="E138" s="765" t="str">
        <f>IF(Skills!E68&gt;"",Skills!E68,"")</f>
        <v/>
      </c>
      <c r="F138" s="765" t="str">
        <f>IF(Skills!I68&gt;"",Skills!I68,"")</f>
        <v/>
      </c>
      <c r="G138" s="765" t="str">
        <f>IF(Skills!L68&gt;"",Skills!L68,"")</f>
        <v/>
      </c>
      <c r="H138" s="765" t="str">
        <f>IF(Skills!M68&gt;"",Skills!M68,"")</f>
        <v/>
      </c>
      <c r="I138" s="765" t="str">
        <f>IF(Skills!N68&gt;"",Skills!N68,"")</f>
        <v/>
      </c>
      <c r="J138" s="765" t="str">
        <f>IF(Skills!O68&gt;"",Skills!O68,"")</f>
        <v/>
      </c>
      <c r="K138" s="765" t="str">
        <f>IF(Skills!P68&gt;"",Skills!P68,"")</f>
        <v/>
      </c>
      <c r="L138" s="765" t="str">
        <f>IF(Skills!Q68&gt;"",Skills!Q68,"")</f>
        <v/>
      </c>
    </row>
    <row r="139" spans="1:12" x14ac:dyDescent="0.2">
      <c r="A139" s="250" t="str">
        <f>IF(Skills!A69&lt;&gt;"",Skills!A69,"")</f>
        <v>Artisan ?</v>
      </c>
      <c r="B139" s="43" t="str">
        <f>IF(Skills!B69&lt;&gt;"",Skills!B69&amp;IF(AND(Skills!B69&lt;&gt;Skills!H69,Skills!H69&gt;=0)," ("&amp;Skills!H69&amp;")",""),"")</f>
        <v>Un</v>
      </c>
      <c r="C139" s="71" t="str">
        <f>IF(Skills!C69&lt;&gt;"",Skills!C69,"")</f>
        <v/>
      </c>
      <c r="D139" s="764" t="str">
        <f>IF(Skills!D69&lt;&gt;"",Skills!D69,"")</f>
        <v/>
      </c>
      <c r="E139" s="765" t="str">
        <f>IF(Skills!E69&gt;"",Skills!E69,"")</f>
        <v/>
      </c>
      <c r="F139" s="765" t="str">
        <f>IF(Skills!I69&gt;"",Skills!I69,"")</f>
        <v/>
      </c>
      <c r="G139" s="765" t="str">
        <f>IF(Skills!L69&gt;"",Skills!L69,"")</f>
        <v/>
      </c>
      <c r="H139" s="765" t="str">
        <f>IF(Skills!M69&gt;"",Skills!M69,"")</f>
        <v/>
      </c>
      <c r="I139" s="765" t="str">
        <f>IF(Skills!N69&gt;"",Skills!N69,"")</f>
        <v/>
      </c>
      <c r="J139" s="765" t="str">
        <f>IF(Skills!O69&gt;"",Skills!O69,"")</f>
        <v/>
      </c>
      <c r="K139" s="765" t="str">
        <f>IF(Skills!P69&gt;"",Skills!P69,"")</f>
        <v/>
      </c>
      <c r="L139" s="765" t="str">
        <f>IF(Skills!Q69&gt;"",Skills!Q69,"")</f>
        <v/>
      </c>
    </row>
    <row r="140" spans="1:12" x14ac:dyDescent="0.2">
      <c r="A140" s="250" t="str">
        <f>IF(Skills!A70&lt;&gt;"",Skills!A70,"")</f>
        <v>Artisan ?</v>
      </c>
      <c r="B140" s="43" t="str">
        <f>IF(Skills!B70&lt;&gt;"",Skills!B70&amp;IF(AND(Skills!B70&lt;&gt;Skills!H70,Skills!H70&gt;=0)," ("&amp;Skills!H70&amp;")",""),"")</f>
        <v>Un</v>
      </c>
      <c r="C140" s="71" t="str">
        <f>IF(Skills!C70&lt;&gt;"",Skills!C70,"")</f>
        <v/>
      </c>
      <c r="D140" s="764" t="str">
        <f>IF(Skills!D70&lt;&gt;"",Skills!D70,"")</f>
        <v/>
      </c>
      <c r="E140" s="765" t="str">
        <f>IF(Skills!E70&gt;"",Skills!E70,"")</f>
        <v/>
      </c>
      <c r="F140" s="765" t="str">
        <f>IF(Skills!I70&gt;"",Skills!I70,"")</f>
        <v/>
      </c>
      <c r="G140" s="765" t="str">
        <f>IF(Skills!L70&gt;"",Skills!L70,"")</f>
        <v/>
      </c>
      <c r="H140" s="765" t="str">
        <f>IF(Skills!M70&gt;"",Skills!M70,"")</f>
        <v/>
      </c>
      <c r="I140" s="765" t="str">
        <f>IF(Skills!N70&gt;"",Skills!N70,"")</f>
        <v/>
      </c>
      <c r="J140" s="765" t="str">
        <f>IF(Skills!O70&gt;"",Skills!O70,"")</f>
        <v/>
      </c>
      <c r="K140" s="765" t="str">
        <f>IF(Skills!P70&gt;"",Skills!P70,"")</f>
        <v/>
      </c>
      <c r="L140" s="765" t="str">
        <f>IF(Skills!Q70&gt;"",Skills!Q70,"")</f>
        <v/>
      </c>
    </row>
    <row r="141" spans="1:12" x14ac:dyDescent="0.2">
      <c r="A141" s="250" t="str">
        <f>IF(Skills!A71&lt;&gt;"",Skills!A71,"")</f>
        <v>Artisan ?</v>
      </c>
      <c r="B141" s="43" t="str">
        <f>IF(Skills!B71&lt;&gt;"",Skills!B71&amp;IF(AND(Skills!B71&lt;&gt;Skills!H71,Skills!H71&gt;=0)," ("&amp;Skills!H71&amp;")",""),"")</f>
        <v>Un</v>
      </c>
      <c r="C141" s="71" t="str">
        <f>IF(Skills!C71&lt;&gt;"",Skills!C71,"")</f>
        <v/>
      </c>
      <c r="D141" s="764" t="str">
        <f>IF(Skills!D71&lt;&gt;"",Skills!D71,"")</f>
        <v/>
      </c>
      <c r="E141" s="765" t="str">
        <f>IF(Skills!E71&gt;"",Skills!E71,"")</f>
        <v/>
      </c>
      <c r="F141" s="765" t="str">
        <f>IF(Skills!I71&gt;"",Skills!I71,"")</f>
        <v/>
      </c>
      <c r="G141" s="765" t="str">
        <f>IF(Skills!L71&gt;"",Skills!L71,"")</f>
        <v/>
      </c>
      <c r="H141" s="765" t="str">
        <f>IF(Skills!M71&gt;"",Skills!M71,"")</f>
        <v/>
      </c>
      <c r="I141" s="765" t="str">
        <f>IF(Skills!N71&gt;"",Skills!N71,"")</f>
        <v/>
      </c>
      <c r="J141" s="765" t="str">
        <f>IF(Skills!O71&gt;"",Skills!O71,"")</f>
        <v/>
      </c>
      <c r="K141" s="765" t="str">
        <f>IF(Skills!P71&gt;"",Skills!P71,"")</f>
        <v/>
      </c>
      <c r="L141" s="765" t="str">
        <f>IF(Skills!Q71&gt;"",Skills!Q71,"")</f>
        <v/>
      </c>
    </row>
    <row r="142" spans="1:12" x14ac:dyDescent="0.2">
      <c r="A142" s="201" t="str">
        <f>IF(Skills!A73&lt;&gt;"",Skills!A73,"")</f>
        <v/>
      </c>
      <c r="B142" s="43" t="str">
        <f>IF(Skills!B73&lt;&gt;"",Skills!B73&amp;IF(AND(Skills!B73&lt;&gt;Skills!H73,Skills!H73&gt;=0)," ("&amp;Skills!H73&amp;")",""),"")</f>
        <v/>
      </c>
      <c r="C142" s="71" t="str">
        <f>IF(Skills!C73&lt;&gt;"",Skills!C73,"")</f>
        <v/>
      </c>
      <c r="D142" s="764" t="str">
        <f>IF(Skills!D73&lt;&gt;"",Skills!D73,"")</f>
        <v/>
      </c>
      <c r="E142" s="765" t="str">
        <f>IF(Skills!E73&gt;"",Skills!E73,"")</f>
        <v/>
      </c>
      <c r="F142" s="765" t="str">
        <f>IF(Skills!I73&gt;"",Skills!I73,"")</f>
        <v/>
      </c>
      <c r="G142" s="765" t="str">
        <f>IF(Skills!L73&gt;"",Skills!L73,"")</f>
        <v/>
      </c>
      <c r="H142" s="765" t="str">
        <f>IF(Skills!M73&gt;"",Skills!M73,"")</f>
        <v/>
      </c>
      <c r="I142" s="765" t="str">
        <f>IF(Skills!N73&gt;"",Skills!N73,"")</f>
        <v/>
      </c>
      <c r="J142" s="765" t="str">
        <f>IF(Skills!O73&gt;"",Skills!O73,"")</f>
        <v/>
      </c>
      <c r="K142" s="765" t="str">
        <f>IF(Skills!P73&gt;"",Skills!P73,"")</f>
        <v/>
      </c>
      <c r="L142" s="765" t="str">
        <f>IF(Skills!Q73&gt;"",Skills!Q73,"")</f>
        <v/>
      </c>
    </row>
    <row r="143" spans="1:12" x14ac:dyDescent="0.2">
      <c r="A143" s="207" t="str">
        <f>Skills!A74</f>
        <v>Adventuring Skills</v>
      </c>
      <c r="B143" s="188"/>
      <c r="C143" s="191"/>
      <c r="D143" s="782"/>
      <c r="E143" s="783"/>
      <c r="F143" s="783"/>
      <c r="G143" s="783"/>
      <c r="H143" s="783"/>
      <c r="I143" s="783"/>
      <c r="J143" s="783"/>
      <c r="K143" s="783"/>
      <c r="L143" s="783"/>
    </row>
    <row r="144" spans="1:12" x14ac:dyDescent="0.2">
      <c r="A144" s="201" t="str">
        <f>Skills!A75</f>
        <v>Climbing</v>
      </c>
      <c r="B144" s="43" t="str">
        <f>IF(Skills!B75&lt;&gt;"",Skills!B75&amp;IF(AND(Skills!B75&lt;&gt;Skills!H75,Skills!H75&gt;=0)," ("&amp;Skills!H75&amp;")",""),"")</f>
        <v>0</v>
      </c>
      <c r="C144" s="71">
        <f>Skills!C75</f>
        <v>52</v>
      </c>
      <c r="D144" s="764" t="str">
        <f>IF(Skills!D75&lt;&gt;"",Skills!D75,"")</f>
        <v>-1% per 10' check every 20'</v>
      </c>
      <c r="E144" s="765" t="str">
        <f>IF(Skills!E75&gt;"",Skills!E75,"")</f>
        <v/>
      </c>
      <c r="F144" s="765" t="str">
        <f>IF(Skills!I75&gt;"",Skills!I75,"")</f>
        <v/>
      </c>
      <c r="G144" s="765" t="str">
        <f>IF(Skills!L75&gt;"",Skills!L75,"")</f>
        <v/>
      </c>
      <c r="H144" s="765" t="str">
        <f>IF(Skills!M75&gt;"",Skills!M75,"")</f>
        <v/>
      </c>
      <c r="I144" s="765" t="str">
        <f>IF(Skills!N75&gt;"",Skills!N75,"")</f>
        <v/>
      </c>
      <c r="J144" s="765" t="str">
        <f>IF(Skills!O75&gt;"",Skills!O75,"")</f>
        <v/>
      </c>
      <c r="K144" s="765" t="str">
        <f>IF(Skills!P75&gt;"",Skills!P75,"")</f>
        <v/>
      </c>
      <c r="L144" s="765" t="str">
        <f>IF(Skills!Q75&gt;"",Skills!Q75,"")</f>
        <v/>
      </c>
    </row>
    <row r="145" spans="1:12" x14ac:dyDescent="0.2">
      <c r="A145" s="205" t="str">
        <f>Skills!A76</f>
        <v>Flying</v>
      </c>
      <c r="B145" s="40" t="str">
        <f>IF(Skills!B76&lt;&gt;"",Skills!B76&amp;IF(AND(Skills!B76&lt;&gt;Skills!H76,Skills!H76&gt;=0)," ("&amp;Skills!H76&amp;")",""),"")</f>
        <v>0</v>
      </c>
      <c r="C145" s="71">
        <f>Skills!C76</f>
        <v>33</v>
      </c>
      <c r="D145" s="764" t="str">
        <f>IF(Skills!D76&lt;&gt;"",Skills!D76,"")</f>
        <v>Weapon use: 1H</v>
      </c>
      <c r="E145" s="765" t="str">
        <f>IF(Skills!E76&gt;"",Skills!E76,"")</f>
        <v/>
      </c>
      <c r="F145" s="765" t="str">
        <f>IF(Skills!I76&gt;"",Skills!I76,"")</f>
        <v/>
      </c>
      <c r="G145" s="765" t="str">
        <f>IF(Skills!L76&gt;"",Skills!L76,"")</f>
        <v/>
      </c>
      <c r="H145" s="765" t="str">
        <f>IF(Skills!M76&gt;"",Skills!M76,"")</f>
        <v/>
      </c>
      <c r="I145" s="765" t="str">
        <f>IF(Skills!N76&gt;"",Skills!N76,"")</f>
        <v/>
      </c>
      <c r="J145" s="765" t="str">
        <f>IF(Skills!O76&gt;"",Skills!O76,"")</f>
        <v/>
      </c>
      <c r="K145" s="765" t="str">
        <f>IF(Skills!P76&gt;"",Skills!P76,"")</f>
        <v/>
      </c>
      <c r="L145" s="765" t="str">
        <f>IF(Skills!Q76&gt;"",Skills!Q76,"")</f>
        <v/>
      </c>
    </row>
    <row r="146" spans="1:12" x14ac:dyDescent="0.2">
      <c r="A146" s="201" t="str">
        <f>Skills!A77</f>
        <v>Horsemanship</v>
      </c>
      <c r="B146" s="43" t="str">
        <f>IF(Skills!B77&lt;&gt;"",Skills!B77&amp;IF(AND(Skills!B77&lt;&gt;Skills!H77,Skills!H77&gt;=0)," ("&amp;Skills!H77&amp;")",""),"")</f>
        <v>0</v>
      </c>
      <c r="C146" s="71">
        <f>Skills!C77</f>
        <v>13</v>
      </c>
      <c r="D146" s="764" t="str">
        <f>IF(Skills!D77&lt;&gt;"",Skills!D77,"")</f>
        <v>Weapon use: 1H</v>
      </c>
      <c r="E146" s="765" t="str">
        <f>IF(Skills!E77&gt;"",Skills!E77,"")</f>
        <v/>
      </c>
      <c r="F146" s="765" t="str">
        <f>IF(Skills!I77&gt;"",Skills!I77,"")</f>
        <v/>
      </c>
      <c r="G146" s="765" t="str">
        <f>IF(Skills!L77&gt;"",Skills!L77,"")</f>
        <v/>
      </c>
      <c r="H146" s="765" t="str">
        <f>IF(Skills!M77&gt;"",Skills!M77,"")</f>
        <v/>
      </c>
      <c r="I146" s="765" t="str">
        <f>IF(Skills!N77&gt;"",Skills!N77,"")</f>
        <v/>
      </c>
      <c r="J146" s="765" t="str">
        <f>IF(Skills!O77&gt;"",Skills!O77,"")</f>
        <v/>
      </c>
      <c r="K146" s="765" t="str">
        <f>IF(Skills!P77&gt;"",Skills!P77,"")</f>
        <v/>
      </c>
      <c r="L146" s="765" t="str">
        <f>IF(Skills!Q77&gt;"",Skills!Q77,"")</f>
        <v/>
      </c>
    </row>
    <row r="147" spans="1:12" x14ac:dyDescent="0.2">
      <c r="A147" s="205" t="str">
        <f>Skills!A78</f>
        <v>Stealth</v>
      </c>
      <c r="B147" s="40" t="str">
        <f>IF(Skills!B78&lt;&gt;"",Skills!B78&amp;IF(AND(Skills!B78&lt;&gt;Skills!H78,Skills!H78&gt;=0)," ("&amp;Skills!H78&amp;")",""),"")</f>
        <v>0</v>
      </c>
      <c r="C147" s="71">
        <f>Skills!C78</f>
        <v>33</v>
      </c>
      <c r="D147" s="780" t="str">
        <f>Skills!D78</f>
        <v>Outdoors: 33</v>
      </c>
      <c r="E147" s="781">
        <f>Skills!E78</f>
        <v>0</v>
      </c>
      <c r="F147" s="781">
        <f>Skills!I78</f>
        <v>7</v>
      </c>
      <c r="G147" s="781">
        <f>Skills!L78</f>
        <v>500</v>
      </c>
      <c r="H147" s="781">
        <f>Skills!M78</f>
        <v>0</v>
      </c>
      <c r="I147" s="781">
        <f>Skills!N78</f>
        <v>500</v>
      </c>
      <c r="J147" s="781">
        <f>Skills!O78</f>
        <v>1000</v>
      </c>
      <c r="K147" s="781">
        <f>Skills!P78</f>
        <v>1500</v>
      </c>
      <c r="L147" s="781">
        <f>Skills!Q78</f>
        <v>2000</v>
      </c>
    </row>
    <row r="148" spans="1:12" x14ac:dyDescent="0.2">
      <c r="A148" s="201" t="str">
        <f>Skills!A79</f>
        <v>Swimming</v>
      </c>
      <c r="B148" s="43" t="str">
        <f>IF(Skills!B79&lt;&gt;"",Skills!B79&amp;IF(AND(Skills!B79&lt;&gt;Skills!H79,Skills!H79&gt;=0)," ("&amp;Skills!H79&amp;")",""),"")</f>
        <v>0</v>
      </c>
      <c r="C148" s="71">
        <f>Skills!C79</f>
        <v>16</v>
      </c>
      <c r="D148" s="780" t="str">
        <f ca="1">IF(Skills!D79&lt;&gt;"",Skills!D79,"")</f>
        <v>Swim TMR: 1</v>
      </c>
      <c r="E148" s="781" t="str">
        <f>IF(Skills!E79&gt;"",Skills!E79,"")</f>
        <v/>
      </c>
      <c r="F148" s="781" t="str">
        <f>IF(Skills!I79&gt;"",Skills!I79,"")</f>
        <v/>
      </c>
      <c r="G148" s="781" t="str">
        <f>IF(Skills!L79&gt;"",Skills!L79,"")</f>
        <v/>
      </c>
      <c r="H148" s="781" t="str">
        <f>IF(Skills!M79&gt;"",Skills!M79,"")</f>
        <v/>
      </c>
      <c r="I148" s="781" t="str">
        <f>IF(Skills!N79&gt;"",Skills!N79,"")</f>
        <v/>
      </c>
      <c r="J148" s="781" t="str">
        <f>IF(Skills!O79&gt;"",Skills!O79,"")</f>
        <v/>
      </c>
      <c r="K148" s="781" t="str">
        <f>IF(Skills!P79&gt;"",Skills!P79,"")</f>
        <v/>
      </c>
      <c r="L148" s="781" t="str">
        <f>IF(Skills!Q79&gt;"",Skills!Q79,"")</f>
        <v/>
      </c>
    </row>
    <row r="149" spans="1:12" x14ac:dyDescent="0.2">
      <c r="A149" s="210" t="str">
        <f>Skills!A80</f>
        <v>Languages</v>
      </c>
      <c r="B149" s="188" t="s">
        <v>201</v>
      </c>
      <c r="C149" s="191"/>
      <c r="D149" s="689"/>
      <c r="E149" s="210" t="s">
        <v>163</v>
      </c>
      <c r="F149" s="188"/>
      <c r="G149" s="188" t="s">
        <v>201</v>
      </c>
      <c r="H149" s="690"/>
      <c r="I149" s="210" t="s">
        <v>163</v>
      </c>
      <c r="J149" s="188"/>
      <c r="K149" s="188" t="s">
        <v>201</v>
      </c>
      <c r="L149" s="690"/>
    </row>
    <row r="150" spans="1:12" x14ac:dyDescent="0.2">
      <c r="A150" s="201" t="str">
        <f>Skills!A81</f>
        <v>Common</v>
      </c>
      <c r="B150" s="43">
        <f>IF(A150&lt;&gt;"",VLOOKUP(A150,Languages!$A$3:$C$95,3,FALSE),"")</f>
        <v>8</v>
      </c>
      <c r="C150" s="691" t="str">
        <f>IF(Skills!D81&lt;&gt;"",Skills!D81,"")</f>
        <v>Westron</v>
      </c>
      <c r="E150" s="693" t="s">
        <v>1882</v>
      </c>
      <c r="F150" s="693"/>
      <c r="G150" s="694" t="str">
        <f>IF(LEN(E150)&gt;1,SUBSTITUTE(VLOOKUP(E150,Languages!$A$3:$C$95,3,FALSE),"-1","",1),"")</f>
        <v/>
      </c>
      <c r="H150" s="696" t="str">
        <f>_xlfn.IFNA(VLOOKUP(E150,Skills!$A$81:$D$106,4,0),"")</f>
        <v/>
      </c>
      <c r="I150" s="693" t="s">
        <v>505</v>
      </c>
      <c r="J150" s="693"/>
      <c r="K150" s="694" t="str">
        <f>IF(LEN(I150)&gt;1,SUBSTITUTE(VLOOKUP(I150,Languages!$A$3:$C$95,3,FALSE),"-1","",1),"")</f>
        <v/>
      </c>
      <c r="L150" s="696" t="str">
        <f>_xlfn.IFNA(VLOOKUP(I150,Skills!$A$81:$D$106,4,0),"")</f>
        <v/>
      </c>
    </row>
    <row r="151" spans="1:12" x14ac:dyDescent="0.2">
      <c r="A151" s="205" t="str">
        <f>Skills!A82</f>
        <v>Dwarvish</v>
      </c>
      <c r="B151" s="40" t="str">
        <f>IF(LEN(A151)&gt;1,SUBSTITUTE(VLOOKUP(A151,Languages!$A$3:$C$95,3,FALSE),"-1","",1),"")</f>
        <v/>
      </c>
      <c r="C151" s="692" t="str">
        <f>IF(Skills!D82&lt;&gt;"",Skills!D82,"")</f>
        <v/>
      </c>
      <c r="E151" s="205" t="s">
        <v>1742</v>
      </c>
      <c r="F151" s="205"/>
      <c r="G151" s="40" t="str">
        <f>IF(LEN(E151)&gt;1,SUBSTITUTE(VLOOKUP(E151,Languages!$A$3:$C$95,3,FALSE),"-1","",1),"")</f>
        <v/>
      </c>
      <c r="H151" s="696" t="str">
        <f>_xlfn.IFNA(VLOOKUP(E151,Skills!$A$81:$D$106,4,0),"")</f>
        <v/>
      </c>
      <c r="I151" s="205" t="s">
        <v>1815</v>
      </c>
      <c r="J151" s="205"/>
      <c r="K151" s="40" t="str">
        <f>IF(LEN(I151)&gt;1,SUBSTITUTE(VLOOKUP(I151,Languages!$A$3:$C$95,3,FALSE),"-1","",1),"")</f>
        <v/>
      </c>
      <c r="L151" s="696" t="str">
        <f>_xlfn.IFNA(VLOOKUP(I151,Skills!$A$81:$D$106,4,0),"")</f>
        <v/>
      </c>
    </row>
    <row r="152" spans="1:12" x14ac:dyDescent="0.2">
      <c r="A152" s="201" t="str">
        <f>Skills!A83</f>
        <v>Elvish</v>
      </c>
      <c r="B152" s="43" t="str">
        <f>IF(LEN(A152)&gt;1,SUBSTITUTE(VLOOKUP(A152,Languages!$A$3:$C$95,3,FALSE),"-1","",1),"")</f>
        <v/>
      </c>
      <c r="C152" s="691" t="str">
        <f>IF(Skills!D83&lt;&gt;"",Skills!D83,"")</f>
        <v/>
      </c>
      <c r="E152" s="693" t="s">
        <v>1752</v>
      </c>
      <c r="F152" s="693"/>
      <c r="G152" s="694" t="str">
        <f>IF(LEN(E152)&gt;1,SUBSTITUTE(VLOOKUP(E152,Languages!$A$3:$C$95,3,FALSE),"-1","",1),"")</f>
        <v/>
      </c>
      <c r="H152" s="696" t="str">
        <f>_xlfn.IFNA(VLOOKUP(E152,Skills!$A$81:$D$106,4,0),"")</f>
        <v/>
      </c>
      <c r="I152" s="693" t="s">
        <v>1816</v>
      </c>
      <c r="J152" s="693"/>
      <c r="K152" s="694" t="str">
        <f>IF(LEN(I152)&gt;1,SUBSTITUTE(VLOOKUP(I152,Languages!$A$3:$C$95,3,FALSE),"-1","",1),"")</f>
        <v/>
      </c>
      <c r="L152" s="696" t="str">
        <f>_xlfn.IFNA(VLOOKUP(I152,Skills!$A$81:$D$106,4,0),"")</f>
        <v/>
      </c>
    </row>
    <row r="153" spans="1:12" x14ac:dyDescent="0.2">
      <c r="A153" s="205" t="str">
        <f>Skills!A84</f>
        <v>Halfling</v>
      </c>
      <c r="B153" s="40" t="str">
        <f>IF(LEN(A153)&gt;1,SUBSTITUTE(VLOOKUP(A153,Languages!$A$3:$C$95,3,FALSE),"-1","",1),"")</f>
        <v/>
      </c>
      <c r="C153" s="691" t="str">
        <f>IF(Skills!D84&lt;&gt;"",Skills!D84,"")</f>
        <v/>
      </c>
      <c r="E153" s="205" t="s">
        <v>1743</v>
      </c>
      <c r="F153" s="205"/>
      <c r="G153" s="40" t="str">
        <f>IF(LEN(E153)&gt;1,SUBSTITUTE(VLOOKUP(E153,Languages!$A$3:$C$95,3,FALSE),"-1","",1),"")</f>
        <v/>
      </c>
      <c r="H153" s="696" t="str">
        <f>_xlfn.IFNA(VLOOKUP(E153,Skills!$A$81:$D$106,4,0),"")</f>
        <v/>
      </c>
      <c r="I153" s="205" t="s">
        <v>508</v>
      </c>
      <c r="J153" s="205"/>
      <c r="K153" s="40" t="str">
        <f>IF(LEN(I153)&gt;1,SUBSTITUTE(VLOOKUP(I153,Languages!$A$3:$C$95,3,FALSE),"-1","",1),"")</f>
        <v/>
      </c>
      <c r="L153" s="696" t="str">
        <f>_xlfn.IFNA(VLOOKUP(I153,Skills!$A$81:$D$106,4,0),"")</f>
        <v/>
      </c>
    </row>
    <row r="154" spans="1:12" x14ac:dyDescent="0.2">
      <c r="A154" s="201" t="str">
        <f>Skills!A85</f>
        <v>Hill Giant</v>
      </c>
      <c r="B154" s="43" t="str">
        <f>IF(LEN(A154)&gt;1,SUBSTITUTE(VLOOKUP(A154,Languages!$A$3:$C$95,3,FALSE),"-1","",1),"")</f>
        <v/>
      </c>
      <c r="C154" s="691" t="str">
        <f>IF(Skills!D85&lt;&gt;"",Skills!D85,"")</f>
        <v/>
      </c>
      <c r="E154" s="693" t="s">
        <v>1744</v>
      </c>
      <c r="F154" s="693"/>
      <c r="G154" s="694" t="str">
        <f>IF(LEN(E154)&gt;1,SUBSTITUTE(VLOOKUP(E154,Languages!$A$3:$C$95,3,FALSE),"-1","",1),"")</f>
        <v/>
      </c>
      <c r="H154" s="696" t="str">
        <f>_xlfn.IFNA(VLOOKUP(E154,Skills!$A$81:$D$106,4,0),"")</f>
        <v/>
      </c>
      <c r="I154" s="693" t="s">
        <v>1817</v>
      </c>
      <c r="J154" s="693"/>
      <c r="K154" s="694" t="str">
        <f>IF(LEN(I154)&gt;1,SUBSTITUTE(VLOOKUP(I154,Languages!$A$3:$C$95,3,FALSE),"-1","",1),"")</f>
        <v/>
      </c>
      <c r="L154" s="696" t="str">
        <f>_xlfn.IFNA(VLOOKUP(I154,Skills!$A$81:$D$106,4,0),"")</f>
        <v/>
      </c>
    </row>
    <row r="155" spans="1:12" x14ac:dyDescent="0.2">
      <c r="A155" s="205" t="str">
        <f>Skills!A86</f>
        <v>Orcish</v>
      </c>
      <c r="B155" s="40" t="str">
        <f>IF(LEN(A155)&gt;1,SUBSTITUTE(VLOOKUP(A155,Languages!$A$3:$C$95,3,FALSE),"-1","",1),"")</f>
        <v/>
      </c>
      <c r="C155" s="691" t="str">
        <f>IF(Skills!D86&lt;&gt;"",Skills!D86,"")</f>
        <v/>
      </c>
      <c r="E155" s="205" t="s">
        <v>1750</v>
      </c>
      <c r="F155" s="205"/>
      <c r="G155" s="40" t="str">
        <f>IF(LEN(E155)&gt;1,SUBSTITUTE(VLOOKUP(E155,Languages!$A$3:$C$95,3,FALSE),"-1","",1),"")</f>
        <v/>
      </c>
      <c r="H155" s="696" t="str">
        <f>_xlfn.IFNA(VLOOKUP(E155,Skills!$A$81:$D$106,4,0),"")</f>
        <v/>
      </c>
      <c r="I155" s="205" t="s">
        <v>1818</v>
      </c>
      <c r="J155" s="205"/>
      <c r="K155" s="40" t="str">
        <f>IF(LEN(I155)&gt;1,SUBSTITUTE(VLOOKUP(I155,Languages!$A$3:$C$95,3,FALSE),"-1","",1),"")</f>
        <v/>
      </c>
      <c r="L155" s="696" t="str">
        <f>_xlfn.IFNA(VLOOKUP(I155,Skills!$A$81:$D$106,4,0),"")</f>
        <v/>
      </c>
    </row>
    <row r="156" spans="1:12" x14ac:dyDescent="0.2">
      <c r="A156" s="201" t="str">
        <f>Skills!A87</f>
        <v>Silent Tongue</v>
      </c>
      <c r="B156" s="43" t="str">
        <f>IF(LEN(A156)&gt;1,SUBSTITUTE(VLOOKUP(A156,Languages!$A$3:$C$95,3,FALSE),"-1","",1),"")</f>
        <v/>
      </c>
      <c r="C156" s="691" t="str">
        <f>IF(Skills!D87&lt;&gt;"",Skills!D87,"")</f>
        <v/>
      </c>
      <c r="E156" s="693" t="s">
        <v>1795</v>
      </c>
      <c r="F156" s="693"/>
      <c r="G156" s="694" t="str">
        <f>IF(LEN(E156)&gt;1,SUBSTITUTE(VLOOKUP(E156,Languages!$A$3:$C$95,3,FALSE),"-1","",1),"")</f>
        <v/>
      </c>
      <c r="H156" s="696" t="str">
        <f>_xlfn.IFNA(VLOOKUP(E156,Skills!$A$81:$D$106,4,0),"")</f>
        <v/>
      </c>
      <c r="I156" s="693"/>
      <c r="J156" s="693"/>
      <c r="K156" s="694" t="str">
        <f>IF(LEN(I156)&gt;1,SUBSTITUTE(VLOOKUP(I156,Languages!$A$3:$C$95,3,FALSE),"-1","",1),"")</f>
        <v/>
      </c>
      <c r="L156" s="696" t="str">
        <f>_xlfn.IFNA(VLOOKUP(I156,Skills!$A$81:$D$106,4,0),"")</f>
        <v/>
      </c>
    </row>
    <row r="157" spans="1:12" x14ac:dyDescent="0.2">
      <c r="A157" s="205">
        <f>Skills!A88</f>
        <v>0</v>
      </c>
      <c r="B157" s="40" t="str">
        <f>IF(LEN(A157)&gt;1,SUBSTITUTE(VLOOKUP(A157,Languages!$A$3:$C$95,3,FALSE),"-1","",1),"")</f>
        <v/>
      </c>
      <c r="C157" s="691" t="str">
        <f>IF(Skills!D88&lt;&gt;"",Skills!D88,"")</f>
        <v/>
      </c>
      <c r="E157" s="205" t="s">
        <v>1745</v>
      </c>
      <c r="F157" s="205"/>
      <c r="G157" s="40" t="str">
        <f>IF(LEN(E157)&gt;1,SUBSTITUTE(VLOOKUP(E157,Languages!$A$3:$C$95,3,FALSE),"-1","",1),"")</f>
        <v/>
      </c>
      <c r="H157" s="696" t="str">
        <f>_xlfn.IFNA(VLOOKUP(E157,Skills!$A$81:$D$106,4,0),"")</f>
        <v/>
      </c>
      <c r="I157" s="205" t="s">
        <v>1826</v>
      </c>
      <c r="J157" s="205"/>
      <c r="K157" s="40" t="str">
        <f>IF(LEN(I157)&gt;1,SUBSTITUTE(VLOOKUP(I157,Languages!$A$3:$C$95,3,FALSE),"-1","",1),"")</f>
        <v/>
      </c>
      <c r="L157" s="696" t="str">
        <f>_xlfn.IFNA(VLOOKUP(I157,Skills!$A$81:$D$106,4,0),"")</f>
        <v/>
      </c>
    </row>
    <row r="158" spans="1:12" x14ac:dyDescent="0.2">
      <c r="A158" s="201">
        <f>Skills!A89</f>
        <v>0</v>
      </c>
      <c r="B158" s="43" t="str">
        <f>IF(LEN(A158)&gt;1,SUBSTITUTE(VLOOKUP(A158,Languages!$A$3:$C$95,3,FALSE),"-1","",1),"")</f>
        <v/>
      </c>
      <c r="C158" s="691" t="str">
        <f>IF(Skills!D89&lt;&gt;"",Skills!D89,"")</f>
        <v/>
      </c>
      <c r="E158" s="693" t="s">
        <v>1751</v>
      </c>
      <c r="F158" s="693"/>
      <c r="G158" s="694" t="str">
        <f>IF(LEN(E158)&gt;1,SUBSTITUTE(VLOOKUP(E158,Languages!$A$3:$C$95,3,FALSE),"-1","",1),"")</f>
        <v/>
      </c>
      <c r="H158" s="696" t="str">
        <f>_xlfn.IFNA(VLOOKUP(E158,Skills!$A$81:$D$106,4,0),"")</f>
        <v/>
      </c>
      <c r="I158" s="693" t="s">
        <v>1827</v>
      </c>
      <c r="J158" s="693"/>
      <c r="K158" s="694" t="str">
        <f>IF(LEN(I158)&gt;1,SUBSTITUTE(VLOOKUP(I158,Languages!$A$3:$C$95,3,FALSE),"-1","",1),"")</f>
        <v/>
      </c>
      <c r="L158" s="696" t="str">
        <f>_xlfn.IFNA(VLOOKUP(I158,Skills!$A$81:$D$106,4,0),"")</f>
        <v/>
      </c>
    </row>
    <row r="159" spans="1:12" x14ac:dyDescent="0.2">
      <c r="A159" s="205">
        <f>Skills!A90</f>
        <v>0</v>
      </c>
      <c r="B159" s="40" t="str">
        <f>IF(LEN(A159)&gt;1,SUBSTITUTE(VLOOKUP(A159,Languages!$A$3:$C$95,3,FALSE),"-1","",1),"")</f>
        <v/>
      </c>
      <c r="C159" s="691" t="str">
        <f>IF(Skills!D90&lt;&gt;"",Skills!D90,"")</f>
        <v/>
      </c>
      <c r="E159" s="205" t="s">
        <v>1754</v>
      </c>
      <c r="F159" s="205"/>
      <c r="G159" s="40" t="str">
        <f>IF(LEN(E159)&gt;1,SUBSTITUTE(VLOOKUP(E159,Languages!$A$3:$C$95,3,FALSE),"-1","",1),"")</f>
        <v/>
      </c>
      <c r="H159" s="696" t="str">
        <f>_xlfn.IFNA(VLOOKUP(E159,Skills!$A$81:$D$106,4,0),"")</f>
        <v/>
      </c>
      <c r="I159" s="205" t="s">
        <v>1828</v>
      </c>
      <c r="J159" s="205"/>
      <c r="K159" s="40" t="str">
        <f>IF(LEN(I159)&gt;1,SUBSTITUTE(VLOOKUP(I159,Languages!$A$3:$C$95,3,FALSE),"-1","",1),"")</f>
        <v/>
      </c>
      <c r="L159" s="696" t="str">
        <f>_xlfn.IFNA(VLOOKUP(I159,Skills!$A$81:$D$106,4,0),"")</f>
        <v/>
      </c>
    </row>
    <row r="160" spans="1:12" x14ac:dyDescent="0.2">
      <c r="A160" s="201">
        <f>Skills!A91</f>
        <v>0</v>
      </c>
      <c r="B160" s="43" t="str">
        <f>IF(LEN(A160)&gt;1,SUBSTITUTE(VLOOKUP(A160,Languages!$A$3:$C$95,3,FALSE),"-1","",1),"")</f>
        <v/>
      </c>
      <c r="C160" s="691" t="str">
        <f>IF(Skills!D91&lt;&gt;"",Skills!D91,"")</f>
        <v/>
      </c>
      <c r="E160" s="693" t="s">
        <v>1746</v>
      </c>
      <c r="F160" s="693"/>
      <c r="G160" s="694" t="str">
        <f>IF(LEN(E160)&gt;1,SUBSTITUTE(VLOOKUP(E160,Languages!$A$3:$C$95,3,FALSE),"-1","",1),"")</f>
        <v/>
      </c>
      <c r="H160" s="696" t="str">
        <f>_xlfn.IFNA(VLOOKUP(E160,Skills!$A$81:$D$106,4,0),"")</f>
        <v/>
      </c>
      <c r="I160" s="693" t="s">
        <v>1829</v>
      </c>
      <c r="J160" s="693"/>
      <c r="K160" s="694" t="str">
        <f>IF(LEN(I160)&gt;1,SUBSTITUTE(VLOOKUP(I160,Languages!$A$3:$C$95,3,FALSE),"-1","",1),"")</f>
        <v/>
      </c>
      <c r="L160" s="696" t="str">
        <f>_xlfn.IFNA(VLOOKUP(I160,Skills!$A$81:$D$106,4,0),"")</f>
        <v/>
      </c>
    </row>
    <row r="161" spans="1:12" x14ac:dyDescent="0.2">
      <c r="A161" s="205">
        <f>Skills!A92</f>
        <v>0</v>
      </c>
      <c r="B161" s="40" t="str">
        <f>IF(LEN(A161)&gt;1,SUBSTITUTE(VLOOKUP(A161,Languages!$A$3:$C$95,3,FALSE),"-1","",1),"")</f>
        <v/>
      </c>
      <c r="C161" s="691" t="str">
        <f>IF(Skills!D92&lt;&gt;"",Skills!D92,"")</f>
        <v/>
      </c>
      <c r="E161" s="205" t="s">
        <v>1801</v>
      </c>
      <c r="F161" s="205"/>
      <c r="G161" s="40" t="str">
        <f>IF(LEN(E161)&gt;1,SUBSTITUTE(VLOOKUP(E161,Languages!$A$3:$C$95,3,FALSE),"-1","",1),"")</f>
        <v/>
      </c>
      <c r="H161" s="696" t="str">
        <f>_xlfn.IFNA(VLOOKUP(E161,Skills!$A$81:$D$106,4,0),"")</f>
        <v/>
      </c>
      <c r="I161" s="205" t="s">
        <v>1830</v>
      </c>
      <c r="J161" s="205"/>
      <c r="K161" s="40" t="str">
        <f>IF(LEN(I161)&gt;1,SUBSTITUTE(VLOOKUP(I161,Languages!$A$3:$C$95,3,FALSE),"-1","",1),"")</f>
        <v/>
      </c>
      <c r="L161" s="696" t="str">
        <f>_xlfn.IFNA(VLOOKUP(I161,Skills!$A$81:$D$106,4,0),"")</f>
        <v/>
      </c>
    </row>
    <row r="162" spans="1:12" x14ac:dyDescent="0.2">
      <c r="A162" s="201">
        <f>Skills!A93</f>
        <v>0</v>
      </c>
      <c r="B162" s="43" t="str">
        <f>IF(LEN(A162)&gt;1,SUBSTITUTE(VLOOKUP(A162,Languages!$A$3:$C$95,3,FALSE),"-1","",1),"")</f>
        <v/>
      </c>
      <c r="C162" s="691" t="str">
        <f>IF(Skills!D93&lt;&gt;"",Skills!D93,"")</f>
        <v/>
      </c>
      <c r="E162" s="693" t="s">
        <v>1811</v>
      </c>
      <c r="F162" s="693"/>
      <c r="G162" s="694" t="str">
        <f>IF(LEN(E162)&gt;1,SUBSTITUTE(VLOOKUP(E162,Languages!$A$3:$C$95,3,FALSE),"-1","",1),"")</f>
        <v/>
      </c>
      <c r="H162" s="696" t="str">
        <f>_xlfn.IFNA(VLOOKUP(E162,Skills!$A$81:$D$106,4,0),"")</f>
        <v/>
      </c>
      <c r="I162" s="693" t="s">
        <v>1831</v>
      </c>
      <c r="J162" s="693"/>
      <c r="K162" s="694" t="str">
        <f>IF(LEN(I162)&gt;1,SUBSTITUTE(VLOOKUP(I162,Languages!$A$3:$C$95,3,FALSE),"-1","",1),"")</f>
        <v/>
      </c>
      <c r="L162" s="696" t="str">
        <f>_xlfn.IFNA(VLOOKUP(I162,Skills!$A$81:$D$106,4,0),"")</f>
        <v/>
      </c>
    </row>
    <row r="163" spans="1:12" x14ac:dyDescent="0.2">
      <c r="A163" s="205">
        <f>Skills!A94</f>
        <v>0</v>
      </c>
      <c r="B163" s="40" t="str">
        <f>IF(LEN(A163)&gt;1,SUBSTITUTE(VLOOKUP(A163,Languages!$A$3:$C$95,3,FALSE),"-1","",1),"")</f>
        <v/>
      </c>
      <c r="C163" s="691" t="str">
        <f>IF(Skills!D94&lt;&gt;"",Skills!D94,"")</f>
        <v/>
      </c>
      <c r="E163" s="205" t="s">
        <v>1796</v>
      </c>
      <c r="F163" s="205"/>
      <c r="G163" s="40" t="str">
        <f>IF(LEN(E163)&gt;1,SUBSTITUTE(VLOOKUP(E163,Languages!$A$3:$C$95,3,FALSE),"-1","",1),"")</f>
        <v/>
      </c>
      <c r="H163" s="696" t="str">
        <f>_xlfn.IFNA(VLOOKUP(E163,Skills!$A$81:$D$106,4,0),"")</f>
        <v/>
      </c>
      <c r="I163" s="205" t="s">
        <v>470</v>
      </c>
      <c r="J163" s="205"/>
      <c r="K163" s="40" t="str">
        <f>IF(LEN(I163)&gt;1,SUBSTITUTE(VLOOKUP(I163,Languages!$A$3:$C$95,3,FALSE),"-1","",1),"")</f>
        <v/>
      </c>
      <c r="L163" s="696" t="str">
        <f>_xlfn.IFNA(VLOOKUP(I163,Skills!$A$81:$D$106,4,0),"")</f>
        <v/>
      </c>
    </row>
    <row r="164" spans="1:12" x14ac:dyDescent="0.2">
      <c r="A164" s="201">
        <f>Skills!A95</f>
        <v>0</v>
      </c>
      <c r="B164" s="43" t="str">
        <f>IF(LEN(A164)&gt;1,SUBSTITUTE(VLOOKUP(A164,Languages!$A$3:$C$95,3,FALSE),"-1","",1),"")</f>
        <v/>
      </c>
      <c r="C164" s="691" t="str">
        <f>IF(Skills!D95&lt;&gt;"",Skills!D95,"")</f>
        <v/>
      </c>
      <c r="E164" s="693" t="s">
        <v>1797</v>
      </c>
      <c r="F164" s="693"/>
      <c r="G164" s="694" t="str">
        <f>IF(LEN(E164)&gt;1,SUBSTITUTE(VLOOKUP(E164,Languages!$A$3:$C$95,3,FALSE),"-1","",1),"")</f>
        <v/>
      </c>
      <c r="H164" s="696" t="str">
        <f>_xlfn.IFNA(VLOOKUP(E164,Skills!$A$81:$D$106,4,0),"")</f>
        <v/>
      </c>
      <c r="I164" s="693" t="s">
        <v>1814</v>
      </c>
      <c r="J164" s="693"/>
      <c r="K164" s="694" t="str">
        <f>IF(LEN(I164)&gt;1,SUBSTITUTE(VLOOKUP(I164,Languages!$A$3:$C$95,3,FALSE),"-1","",1),"")</f>
        <v/>
      </c>
      <c r="L164" s="696" t="str">
        <f>_xlfn.IFNA(VLOOKUP(I164,Skills!$A$81:$D$106,4,0),"")</f>
        <v/>
      </c>
    </row>
    <row r="165" spans="1:12" x14ac:dyDescent="0.2">
      <c r="A165" s="205">
        <f>Skills!A96</f>
        <v>0</v>
      </c>
      <c r="B165" s="40" t="str">
        <f>IF(LEN(A165)&gt;1,SUBSTITUTE(VLOOKUP(A165,Languages!$A$3:$C$95,3,FALSE),"-1","",1),"")</f>
        <v/>
      </c>
      <c r="C165" s="691" t="str">
        <f>IF(Skills!D96&lt;&gt;"",Skills!D96,"")</f>
        <v/>
      </c>
      <c r="D165" s="688"/>
      <c r="E165" s="205" t="s">
        <v>1747</v>
      </c>
      <c r="F165" s="205"/>
      <c r="G165" s="40" t="str">
        <f>IF(LEN(E165)&gt;1,SUBSTITUTE(VLOOKUP(E165,Languages!$A$3:$C$95,3,FALSE),"-1","",1),"")</f>
        <v/>
      </c>
      <c r="H165" s="696" t="str">
        <f>_xlfn.IFNA(VLOOKUP(E165,Skills!$A$81:$D$106,4,0),"")</f>
        <v/>
      </c>
      <c r="I165" s="205" t="s">
        <v>470</v>
      </c>
      <c r="J165" s="205"/>
      <c r="K165" s="40" t="str">
        <f>IF(LEN(I165)&gt;1,SUBSTITUTE(VLOOKUP(I165,Languages!$A$3:$C$95,3,FALSE),"-1","",1),"")</f>
        <v/>
      </c>
      <c r="L165" s="696" t="str">
        <f>_xlfn.IFNA(VLOOKUP(I165,Skills!$A$81:$D$106,4,0),"")</f>
        <v/>
      </c>
    </row>
    <row r="166" spans="1:12" x14ac:dyDescent="0.2">
      <c r="A166" s="201">
        <f>Skills!A97</f>
        <v>0</v>
      </c>
      <c r="B166" s="43" t="str">
        <f>IF(LEN(A166)&gt;1,SUBSTITUTE(VLOOKUP(A166,Languages!$A$3:$C$95,3,FALSE),"-1","",1),"")</f>
        <v/>
      </c>
      <c r="C166" s="691" t="str">
        <f>IF(Skills!D97&lt;&gt;"",Skills!D97,"")</f>
        <v/>
      </c>
      <c r="E166" s="693" t="s">
        <v>1756</v>
      </c>
      <c r="F166" s="693"/>
      <c r="G166" s="694" t="str">
        <f>IF(LEN(E166)&gt;1,SUBSTITUTE(VLOOKUP(E166,Languages!$A$3:$C$95,3,FALSE),"-1","",1),"")</f>
        <v/>
      </c>
      <c r="H166" s="696" t="str">
        <f>_xlfn.IFNA(VLOOKUP(E166,Skills!$A$81:$D$106,4,0),"")</f>
        <v/>
      </c>
      <c r="I166" s="693" t="s">
        <v>1814</v>
      </c>
      <c r="J166" s="693"/>
      <c r="K166" s="694" t="str">
        <f>IF(LEN(I166)&gt;1,SUBSTITUTE(VLOOKUP(I166,Languages!$A$3:$C$95,3,FALSE),"-1","",1),"")</f>
        <v/>
      </c>
      <c r="L166" s="696" t="str">
        <f>_xlfn.IFNA(VLOOKUP(I166,Skills!$A$81:$D$106,4,0),"")</f>
        <v/>
      </c>
    </row>
    <row r="167" spans="1:12" x14ac:dyDescent="0.2">
      <c r="A167" s="205">
        <f>Skills!A98</f>
        <v>0</v>
      </c>
      <c r="B167" s="40" t="str">
        <f>IF(LEN(A167)&gt;1,SUBSTITUTE(VLOOKUP(A167,Languages!$A$3:$C$95,3,FALSE),"-1","",1),"")</f>
        <v/>
      </c>
      <c r="C167" s="691" t="str">
        <f>IF(Skills!D98&lt;&gt;"",Skills!D98,"")</f>
        <v/>
      </c>
      <c r="E167" s="205" t="s">
        <v>1812</v>
      </c>
      <c r="F167" s="205"/>
      <c r="G167" s="40" t="str">
        <f>IF(LEN(E167)&gt;1,SUBSTITUTE(VLOOKUP(E167,Languages!$A$3:$C$95,3,FALSE),"-1","",1),"")</f>
        <v/>
      </c>
      <c r="H167" s="696" t="str">
        <f>_xlfn.IFNA(VLOOKUP(E167,Skills!$A$81:$D$106,4,0),"")</f>
        <v/>
      </c>
      <c r="I167" s="205"/>
      <c r="J167" s="205"/>
      <c r="K167" s="40" t="str">
        <f>IF(LEN(I167)&gt;1,SUBSTITUTE(VLOOKUP(I167,Languages!$A$3:$C$95,3,FALSE),"-1","",1),"")</f>
        <v/>
      </c>
      <c r="L167" s="696" t="str">
        <f>_xlfn.IFNA(VLOOKUP(I167,Skills!$A$81:$D$106,4,0),"")</f>
        <v/>
      </c>
    </row>
    <row r="168" spans="1:12" x14ac:dyDescent="0.2">
      <c r="A168" s="201">
        <f>Skills!A99</f>
        <v>0</v>
      </c>
      <c r="B168" s="43" t="str">
        <f>IF(LEN(A168)&gt;1,SUBSTITUTE(VLOOKUP(A168,Languages!$A$3:$C$95,3,FALSE),"-1","",1),"")</f>
        <v/>
      </c>
      <c r="C168" s="691" t="str">
        <f>IF(Skills!D99&lt;&gt;"",Skills!D99,"")</f>
        <v/>
      </c>
      <c r="E168" s="693" t="s">
        <v>1810</v>
      </c>
      <c r="F168" s="693"/>
      <c r="G168" s="694" t="str">
        <f>IF(LEN(E168)&gt;1,SUBSTITUTE(VLOOKUP(E168,Languages!$A$3:$C$95,3,FALSE),"-1","",1),"")</f>
        <v/>
      </c>
      <c r="H168" s="696" t="str">
        <f>_xlfn.IFNA(VLOOKUP(E168,Skills!$A$81:$D$106,4,0),"")</f>
        <v/>
      </c>
      <c r="I168" s="693" t="s">
        <v>1825</v>
      </c>
      <c r="J168" s="693"/>
      <c r="K168" s="694" t="str">
        <f>IF(LEN(I168)&gt;1,SUBSTITUTE(VLOOKUP(I168,Languages!$A$3:$C$95,3,FALSE),"-1","",1),"")</f>
        <v/>
      </c>
      <c r="L168" s="696" t="str">
        <f>_xlfn.IFNA(VLOOKUP(I168,Skills!$A$81:$D$106,4,0),"")</f>
        <v/>
      </c>
    </row>
    <row r="169" spans="1:12" x14ac:dyDescent="0.2">
      <c r="A169" s="205">
        <f>Skills!A100</f>
        <v>0</v>
      </c>
      <c r="B169" s="40" t="str">
        <f>IF(LEN(A169)&gt;1,SUBSTITUTE(VLOOKUP(A169,Languages!$A$3:$C$95,3,FALSE),"-1","",1),"")</f>
        <v/>
      </c>
      <c r="C169" s="691" t="str">
        <f>IF(Skills!D100&lt;&gt;"",Skills!D100,"")</f>
        <v/>
      </c>
      <c r="D169" s="688"/>
      <c r="E169" s="205" t="s">
        <v>1798</v>
      </c>
      <c r="F169" s="205"/>
      <c r="G169" s="40" t="str">
        <f>IF(LEN(E169)&gt;1,SUBSTITUTE(VLOOKUP(E169,Languages!$A$3:$C$95,3,FALSE),"-1","",1),"")</f>
        <v/>
      </c>
      <c r="H169" s="696" t="str">
        <f>_xlfn.IFNA(VLOOKUP(E169,Skills!$A$81:$D$106,4,0),"")</f>
        <v/>
      </c>
      <c r="I169" s="205" t="s">
        <v>516</v>
      </c>
      <c r="J169" s="205"/>
      <c r="K169" s="40" t="str">
        <f>IF(LEN(I169)&gt;1,SUBSTITUTE(VLOOKUP(I169,Languages!$A$3:$C$95,3,FALSE),"-1","",1),"")</f>
        <v/>
      </c>
      <c r="L169" s="696" t="str">
        <f>_xlfn.IFNA(VLOOKUP(I169,Skills!$A$81:$D$106,4,0),"")</f>
        <v/>
      </c>
    </row>
    <row r="170" spans="1:12" x14ac:dyDescent="0.2">
      <c r="A170" s="201">
        <f>Skills!A101</f>
        <v>0</v>
      </c>
      <c r="B170" s="43" t="str">
        <f>IF(LEN(A170)&gt;1,SUBSTITUTE(VLOOKUP(A170,Languages!$A$3:$C$95,3,FALSE),"-1","",1),"")</f>
        <v/>
      </c>
      <c r="C170" s="691" t="str">
        <f>IF(Skills!D101&lt;&gt;"",Skills!D101,"")</f>
        <v/>
      </c>
      <c r="E170" s="693" t="s">
        <v>1753</v>
      </c>
      <c r="F170" s="693"/>
      <c r="G170" s="694" t="str">
        <f>IF(LEN(E170)&gt;1,SUBSTITUTE(VLOOKUP(E170,Languages!$A$3:$C$95,3,FALSE),"-1","",1),"")</f>
        <v/>
      </c>
      <c r="H170" s="696" t="str">
        <f>_xlfn.IFNA(VLOOKUP(E170,Skills!$A$81:$D$106,4,0),"")</f>
        <v/>
      </c>
      <c r="I170" s="693" t="s">
        <v>518</v>
      </c>
      <c r="J170" s="693"/>
      <c r="K170" s="694" t="str">
        <f>IF(LEN(I170)&gt;1,SUBSTITUTE(VLOOKUP(I170,Languages!$A$3:$C$95,3,FALSE),"-1","",1),"")</f>
        <v/>
      </c>
      <c r="L170" s="696" t="str">
        <f>_xlfn.IFNA(VLOOKUP(I170,Skills!$A$81:$D$106,4,0),"")</f>
        <v/>
      </c>
    </row>
    <row r="171" spans="1:12" x14ac:dyDescent="0.2">
      <c r="A171" s="205">
        <f>Skills!A102</f>
        <v>0</v>
      </c>
      <c r="B171" s="40" t="str">
        <f>IF(LEN(A171)&gt;1,SUBSTITUTE(VLOOKUP(A171,Languages!$A$3:$C$95,3,FALSE),"-1","",1),"")</f>
        <v/>
      </c>
      <c r="C171" s="691" t="str">
        <f>IF(Skills!D102&lt;&gt;"",Skills!D102,"")</f>
        <v/>
      </c>
      <c r="E171" s="205" t="s">
        <v>1794</v>
      </c>
      <c r="F171" s="205"/>
      <c r="G171" s="40" t="str">
        <f>IF(LEN(E171)&gt;1,SUBSTITUTE(VLOOKUP(E171,Languages!$A$3:$C$95,3,FALSE),"-1","",1),"")</f>
        <v/>
      </c>
      <c r="H171" s="696" t="str">
        <f>_xlfn.IFNA(VLOOKUP(E171,Skills!$A$81:$D$106,4,0),"")</f>
        <v/>
      </c>
      <c r="I171" s="205" t="s">
        <v>519</v>
      </c>
      <c r="J171" s="205"/>
      <c r="K171" s="40" t="str">
        <f>IF(LEN(I171)&gt;1,SUBSTITUTE(VLOOKUP(I171,Languages!$A$3:$C$95,3,FALSE),"-1","",1),"")</f>
        <v/>
      </c>
      <c r="L171" s="696" t="str">
        <f>_xlfn.IFNA(VLOOKUP(I171,Skills!$A$81:$D$106,4,0),"")</f>
        <v/>
      </c>
    </row>
    <row r="172" spans="1:12" x14ac:dyDescent="0.2">
      <c r="A172" s="201">
        <f>Skills!A103</f>
        <v>0</v>
      </c>
      <c r="B172" s="43" t="str">
        <f>IF(LEN(A172)&gt;1,SUBSTITUTE(VLOOKUP(A172,Languages!$A$3:$C$95,3,FALSE),"-1","",1),"")</f>
        <v/>
      </c>
      <c r="C172" s="691" t="str">
        <f>IF(Skills!D103&lt;&gt;"",Skills!D103,"")</f>
        <v/>
      </c>
      <c r="E172" s="693" t="s">
        <v>1748</v>
      </c>
      <c r="F172" s="693"/>
      <c r="G172" s="694" t="str">
        <f>IF(LEN(E172)&gt;1,SUBSTITUTE(VLOOKUP(E172,Languages!$A$3:$C$95,3,FALSE),"-1","",1),"")</f>
        <v/>
      </c>
      <c r="H172" s="696" t="str">
        <f>_xlfn.IFNA(VLOOKUP(E172,Skills!$A$81:$D$106,4,0),"")</f>
        <v/>
      </c>
      <c r="I172" s="693" t="s">
        <v>523</v>
      </c>
      <c r="J172" s="693"/>
      <c r="K172" s="694" t="str">
        <f>IF(LEN(I172)&gt;1,SUBSTITUTE(VLOOKUP(I172,Languages!$A$3:$C$95,3,FALSE),"-1","",1),"")</f>
        <v/>
      </c>
      <c r="L172" s="696" t="str">
        <f>_xlfn.IFNA(VLOOKUP(I172,Skills!$A$81:$D$106,4,0),"")</f>
        <v/>
      </c>
    </row>
    <row r="173" spans="1:12" x14ac:dyDescent="0.2">
      <c r="A173" s="205">
        <f>Skills!A104</f>
        <v>0</v>
      </c>
      <c r="B173" s="40" t="str">
        <f>IF(LEN(A173)&gt;1,SUBSTITUTE(VLOOKUP(A173,Languages!$A$3:$C$95,3,FALSE),"-1","",1),"")</f>
        <v/>
      </c>
      <c r="C173" s="691" t="str">
        <f>IF(Skills!D104&lt;&gt;"",Skills!D104,"")</f>
        <v/>
      </c>
      <c r="D173" s="688"/>
      <c r="E173" s="205" t="s">
        <v>1802</v>
      </c>
      <c r="F173" s="205"/>
      <c r="G173" s="40" t="str">
        <f>IF(LEN(E173)&gt;1,SUBSTITUTE(VLOOKUP(E173,Languages!$A$3:$C$95,3,FALSE),"-1","",1),"")</f>
        <v/>
      </c>
      <c r="H173" s="696" t="str">
        <f>_xlfn.IFNA(VLOOKUP(E173,Skills!$A$81:$D$106,4,0),"")</f>
        <v/>
      </c>
      <c r="I173" s="205" t="s">
        <v>527</v>
      </c>
      <c r="J173" s="205"/>
      <c r="K173" s="40" t="str">
        <f>IF(LEN(I173)&gt;1,SUBSTITUTE(VLOOKUP(I173,Languages!$A$3:$C$95,3,FALSE),"-1","",1),"")</f>
        <v/>
      </c>
      <c r="L173" s="696" t="str">
        <f>_xlfn.IFNA(VLOOKUP(I173,Skills!$A$81:$D$106,4,0),"")</f>
        <v/>
      </c>
    </row>
    <row r="174" spans="1:12" x14ac:dyDescent="0.2">
      <c r="A174" s="201">
        <f>Skills!A105</f>
        <v>0</v>
      </c>
      <c r="B174" s="43" t="str">
        <f>IF(LEN(A174)&gt;1,SUBSTITUTE(VLOOKUP(A174,Languages!$A$3:$C$95,3,FALSE),"-1","",1),"")</f>
        <v/>
      </c>
      <c r="C174" s="691" t="str">
        <f>IF(Skills!D105&lt;&gt;"",Skills!D105,"")</f>
        <v/>
      </c>
      <c r="E174" s="693" t="s">
        <v>1799</v>
      </c>
      <c r="F174" s="693"/>
      <c r="G174" s="694" t="str">
        <f>IF(LEN(E174)&gt;1,SUBSTITUTE(VLOOKUP(E174,Languages!$A$3:$C$95,3,FALSE),"-1","",1),"")</f>
        <v/>
      </c>
      <c r="H174" s="696" t="str">
        <f>_xlfn.IFNA(VLOOKUP(E174,Skills!$A$81:$D$106,4,0),"")</f>
        <v/>
      </c>
      <c r="I174" s="693" t="s">
        <v>514</v>
      </c>
      <c r="J174" s="693"/>
      <c r="K174" s="694" t="str">
        <f>IF(LEN(I174)&gt;1,SUBSTITUTE(VLOOKUP(I174,Languages!$A$3:$C$95,3,FALSE),"-1","",1),"")</f>
        <v/>
      </c>
      <c r="L174" s="696" t="str">
        <f>_xlfn.IFNA(VLOOKUP(I174,Skills!$A$81:$D$106,4,0),"")</f>
        <v/>
      </c>
    </row>
    <row r="175" spans="1:12" x14ac:dyDescent="0.2">
      <c r="A175" s="205">
        <f>Skills!A106</f>
        <v>0</v>
      </c>
      <c r="B175" s="40" t="str">
        <f>IF(LEN(A175)&gt;1,SUBSTITUTE(VLOOKUP(A175,Languages!$A$3:$C$95,3,FALSE),"-1","",1),"")</f>
        <v/>
      </c>
      <c r="C175" s="691" t="str">
        <f>IF(Skills!D106&lt;&gt;"",Skills!D106,"")</f>
        <v/>
      </c>
      <c r="E175" s="205" t="s">
        <v>1749</v>
      </c>
      <c r="F175" s="205"/>
      <c r="G175" s="40" t="str">
        <f>IF(LEN(E175)&gt;1,SUBSTITUTE(VLOOKUP(E175,Languages!$A$3:$C$95,3,FALSE),"-1","",1),"")</f>
        <v/>
      </c>
      <c r="H175" s="696" t="str">
        <f>_xlfn.IFNA(VLOOKUP(E175,Skills!$A$81:$D$106,4,0),"")</f>
        <v/>
      </c>
      <c r="I175" s="205" t="s">
        <v>525</v>
      </c>
      <c r="J175" s="205"/>
      <c r="K175" s="40" t="str">
        <f>IF(LEN(I175)&gt;1,SUBSTITUTE(VLOOKUP(I175,Languages!$A$3:$C$95,3,FALSE),"-1","",1),"")</f>
        <v/>
      </c>
      <c r="L175" s="696" t="str">
        <f>_xlfn.IFNA(VLOOKUP(I175,Skills!$A$81:$D$106,4,0),"")</f>
        <v/>
      </c>
    </row>
    <row r="176" spans="1:12" x14ac:dyDescent="0.2">
      <c r="A176" s="201">
        <f>Skills!A107</f>
        <v>0</v>
      </c>
      <c r="B176" s="43" t="str">
        <f>IF(LEN(A176)&gt;1,SUBSTITUTE(VLOOKUP(A176,Languages!$A$3:$C$95,3,FALSE),"-1","",1),"")</f>
        <v/>
      </c>
      <c r="C176" s="691" t="str">
        <f>IF(Skills!D107&lt;&gt;"",Skills!D107,"")</f>
        <v/>
      </c>
      <c r="E176" s="693" t="s">
        <v>1755</v>
      </c>
      <c r="F176" s="693"/>
      <c r="G176" s="694" t="str">
        <f>IF(LEN(E176)&gt;1,SUBSTITUTE(VLOOKUP(E176,Languages!$A$3:$C$95,3,FALSE),"-1","",1),"")</f>
        <v/>
      </c>
      <c r="H176" s="696" t="str">
        <f>_xlfn.IFNA(VLOOKUP(E176,Skills!$A$81:$D$106,4,0),"")</f>
        <v/>
      </c>
      <c r="I176" s="693" t="s">
        <v>1771</v>
      </c>
      <c r="J176" s="693"/>
      <c r="K176" s="694" t="str">
        <f>IF(LEN(I176)&gt;1,SUBSTITUTE(VLOOKUP(I176,Languages!$A$3:$C$95,3,FALSE),"-1","",1),"")</f>
        <v/>
      </c>
      <c r="L176" s="696" t="str">
        <f>_xlfn.IFNA(VLOOKUP(I176,Skills!$A$81:$D$106,4,0),"")</f>
        <v/>
      </c>
    </row>
    <row r="177" spans="1:12" x14ac:dyDescent="0.2">
      <c r="A177" s="205">
        <f>Skills!A108</f>
        <v>0</v>
      </c>
      <c r="B177" s="40" t="str">
        <f>IF(LEN(A177)&gt;1,SUBSTITUTE(VLOOKUP(A177,Languages!$A$3:$C$95,3,FALSE),"-1","",1),"")</f>
        <v/>
      </c>
      <c r="C177" s="691" t="str">
        <f>IF(Skills!D108&lt;&gt;"",Skills!D108,"")</f>
        <v/>
      </c>
      <c r="E177" s="205" t="s">
        <v>1800</v>
      </c>
      <c r="F177" s="205"/>
      <c r="G177" s="40" t="str">
        <f>IF(LEN(E177)&gt;1,SUBSTITUTE(VLOOKUP(E177,Languages!$A$3:$C$95,3,FALSE),"-1","",1),"")</f>
        <v/>
      </c>
      <c r="H177" s="696" t="str">
        <f>_xlfn.IFNA(VLOOKUP(E177,Skills!$A$81:$D$106,4,0),"")</f>
        <v/>
      </c>
      <c r="I177" s="205"/>
      <c r="J177" s="205"/>
      <c r="K177" s="40" t="str">
        <f>IF(LEN(I177)&gt;1,SUBSTITUTE(VLOOKUP(I177,Languages!$A$3:$C$95,3,FALSE),"-1","",1),"")</f>
        <v/>
      </c>
      <c r="L177" s="696" t="str">
        <f>_xlfn.IFNA(VLOOKUP(I177,Skills!$A$81:$D$106,4,0),"")</f>
        <v/>
      </c>
    </row>
    <row r="178" spans="1:12" x14ac:dyDescent="0.2">
      <c r="A178" s="695"/>
      <c r="B178" s="695"/>
      <c r="C178" s="695"/>
      <c r="D178" s="695"/>
      <c r="E178" s="695"/>
      <c r="F178" s="695"/>
      <c r="G178" s="695"/>
      <c r="H178" s="695"/>
      <c r="I178" s="695"/>
      <c r="J178" s="695"/>
      <c r="K178" s="695"/>
      <c r="L178" s="695"/>
    </row>
    <row r="179" spans="1:12" x14ac:dyDescent="0.2">
      <c r="A179" s="771" t="str">
        <f>"NB All of the above numbers are calculated based on a combat Encumbrance of "&amp;Bonuses!$C$3&amp;" lbs."</f>
        <v>NB All of the above numbers are calculated based on a combat Encumbrance of 25 lbs.</v>
      </c>
      <c r="B179" s="771"/>
      <c r="C179" s="771"/>
      <c r="D179" s="771"/>
      <c r="E179" s="771"/>
      <c r="F179" s="771"/>
      <c r="G179" s="771"/>
      <c r="H179" s="771"/>
      <c r="I179" s="771"/>
      <c r="J179" s="771"/>
      <c r="K179" s="196" t="s">
        <v>320</v>
      </c>
      <c r="L179" s="195" t="str">
        <f>"+"&amp;Bonuses!$D$3&amp;" lbs"</f>
        <v>+34.8 lbs</v>
      </c>
    </row>
    <row r="180" spans="1:12" x14ac:dyDescent="0.2">
      <c r="C180" s="31" t="s">
        <v>145</v>
      </c>
      <c r="D180" s="31" t="s">
        <v>285</v>
      </c>
      <c r="K180" s="31" t="s">
        <v>145</v>
      </c>
      <c r="L180" s="31" t="s">
        <v>285</v>
      </c>
    </row>
    <row r="181" spans="1:12" x14ac:dyDescent="0.2">
      <c r="A181" s="775" t="str">
        <f>Bonuses!B16</f>
        <v>Hard Leather Armour AP 5 Wt 3 AG -1</v>
      </c>
      <c r="B181" s="776"/>
      <c r="C181" s="169">
        <f>Bonuses!C16</f>
        <v>18</v>
      </c>
      <c r="D181" s="170">
        <f>Bonuses!D16</f>
        <v>0</v>
      </c>
      <c r="E181" s="34"/>
      <c r="F181" s="769" t="str">
        <f>Bonuses!B34</f>
        <v>0 Wiccan Amulets</v>
      </c>
      <c r="G181" s="770"/>
      <c r="H181" s="770"/>
      <c r="I181" s="770"/>
      <c r="J181" s="770"/>
      <c r="K181" s="169">
        <f>Bonuses!C34</f>
        <v>0</v>
      </c>
      <c r="L181" s="170">
        <f>Bonuses!D34</f>
        <v>0</v>
      </c>
    </row>
    <row r="182" spans="1:12" x14ac:dyDescent="0.2">
      <c r="A182" s="772" t="str">
        <f>Bonuses!B17</f>
        <v>2nd Armour/Protection</v>
      </c>
      <c r="B182" s="768"/>
      <c r="C182" s="171">
        <f>Bonuses!C17</f>
        <v>0</v>
      </c>
      <c r="D182" s="172">
        <f>Bonuses!D17</f>
        <v>0</v>
      </c>
      <c r="E182" s="34"/>
      <c r="F182" s="767">
        <f>Bonuses!B35</f>
        <v>0</v>
      </c>
      <c r="G182" s="768"/>
      <c r="H182" s="768"/>
      <c r="I182" s="768"/>
      <c r="J182" s="768"/>
      <c r="K182" s="171">
        <f>Bonuses!C35</f>
        <v>0</v>
      </c>
      <c r="L182" s="172">
        <f>Bonuses!D35</f>
        <v>0</v>
      </c>
    </row>
    <row r="183" spans="1:12" x14ac:dyDescent="0.2">
      <c r="A183" s="772" t="str">
        <f>Bonuses!B18</f>
        <v>3rd Armour/Protection</v>
      </c>
      <c r="B183" s="768"/>
      <c r="C183" s="171">
        <f>Bonuses!C18</f>
        <v>0</v>
      </c>
      <c r="D183" s="172">
        <f>Bonuses!D18</f>
        <v>0</v>
      </c>
      <c r="E183" s="34"/>
      <c r="F183" s="767">
        <f>Bonuses!B36</f>
        <v>0</v>
      </c>
      <c r="G183" s="768"/>
      <c r="H183" s="768"/>
      <c r="I183" s="768"/>
      <c r="J183" s="768"/>
      <c r="K183" s="171">
        <f>Bonuses!C36</f>
        <v>0</v>
      </c>
      <c r="L183" s="172">
        <f>Bonuses!D36</f>
        <v>0</v>
      </c>
    </row>
    <row r="184" spans="1:12" x14ac:dyDescent="0.2">
      <c r="A184" s="772">
        <f>Bonuses!B19</f>
        <v>0</v>
      </c>
      <c r="B184" s="768"/>
      <c r="C184" s="171">
        <f>Bonuses!C19</f>
        <v>0</v>
      </c>
      <c r="D184" s="172">
        <f>Bonuses!D19</f>
        <v>0</v>
      </c>
      <c r="E184" s="34"/>
      <c r="F184" s="767" t="str">
        <f>Bonuses!B37</f>
        <v>Newhaven Starter Kit:</v>
      </c>
      <c r="G184" s="768"/>
      <c r="H184" s="768"/>
      <c r="I184" s="768"/>
      <c r="J184" s="768"/>
      <c r="K184" s="171">
        <f>Bonuses!C37</f>
        <v>0</v>
      </c>
      <c r="L184" s="172">
        <f>Bonuses!D37</f>
        <v>0</v>
      </c>
    </row>
    <row r="185" spans="1:12" x14ac:dyDescent="0.2">
      <c r="A185" s="772">
        <f>Bonuses!B20</f>
        <v>0</v>
      </c>
      <c r="B185" s="768"/>
      <c r="C185" s="171">
        <f>Bonuses!C20</f>
        <v>0</v>
      </c>
      <c r="D185" s="172">
        <f>Bonuses!D20</f>
        <v>0</v>
      </c>
      <c r="E185" s="34"/>
      <c r="F185" s="767" t="str">
        <f>Bonuses!B38</f>
        <v>Silvered Dagger</v>
      </c>
      <c r="G185" s="768"/>
      <c r="H185" s="768"/>
      <c r="I185" s="768"/>
      <c r="J185" s="768"/>
      <c r="K185" s="171">
        <f>Bonuses!C38</f>
        <v>1</v>
      </c>
      <c r="L185" s="172">
        <f>Bonuses!D38</f>
        <v>0</v>
      </c>
    </row>
    <row r="186" spans="1:12" x14ac:dyDescent="0.2">
      <c r="A186" s="772">
        <f>Bonuses!B21</f>
        <v>0</v>
      </c>
      <c r="B186" s="768"/>
      <c r="C186" s="171">
        <f>Bonuses!C21</f>
        <v>0</v>
      </c>
      <c r="D186" s="172">
        <f>Bonuses!D21</f>
        <v>0</v>
      </c>
      <c r="E186" s="34"/>
      <c r="F186" s="767" t="str">
        <f>Bonuses!B39</f>
        <v>Waters of Healing D-5+8  2  1</v>
      </c>
      <c r="G186" s="768"/>
      <c r="H186" s="768"/>
      <c r="I186" s="768"/>
      <c r="J186" s="768"/>
      <c r="K186" s="171">
        <f>Bonuses!C39</f>
        <v>1</v>
      </c>
      <c r="L186" s="172">
        <f>Bonuses!D39</f>
        <v>0</v>
      </c>
    </row>
    <row r="187" spans="1:12" x14ac:dyDescent="0.2">
      <c r="A187" s="772">
        <f>Bonuses!B22</f>
        <v>0</v>
      </c>
      <c r="B187" s="768"/>
      <c r="C187" s="171">
        <f>Bonuses!C22</f>
        <v>0</v>
      </c>
      <c r="D187" s="172">
        <f>Bonuses!D22</f>
        <v>0</v>
      </c>
      <c r="E187" s="34"/>
      <c r="F187" s="767" t="str">
        <f>Bonuses!B40</f>
        <v>Small Backpack, Leather 20lb capacity</v>
      </c>
      <c r="G187" s="768"/>
      <c r="H187" s="768"/>
      <c r="I187" s="768"/>
      <c r="J187" s="768"/>
      <c r="K187" s="171">
        <f>Bonuses!C40</f>
        <v>0</v>
      </c>
      <c r="L187" s="172">
        <f>Bonuses!D40</f>
        <v>2</v>
      </c>
    </row>
    <row r="188" spans="1:12" x14ac:dyDescent="0.2">
      <c r="A188" s="772">
        <f>Bonuses!B23</f>
        <v>0</v>
      </c>
      <c r="B188" s="768"/>
      <c r="C188" s="171">
        <f>Bonuses!C23</f>
        <v>0</v>
      </c>
      <c r="D188" s="172">
        <f>Bonuses!D23</f>
        <v>0</v>
      </c>
      <c r="E188" s="34"/>
      <c r="F188" s="767" t="str">
        <f>Bonuses!B41</f>
        <v>50' 1/2" Hemp Rope</v>
      </c>
      <c r="G188" s="768"/>
      <c r="H188" s="768"/>
      <c r="I188" s="768"/>
      <c r="J188" s="768"/>
      <c r="K188" s="171">
        <f>Bonuses!C41</f>
        <v>0</v>
      </c>
      <c r="L188" s="172">
        <f>Bonuses!D41</f>
        <v>3</v>
      </c>
    </row>
    <row r="189" spans="1:12" x14ac:dyDescent="0.2">
      <c r="A189" s="772">
        <f>Bonuses!B24</f>
        <v>0</v>
      </c>
      <c r="B189" s="768"/>
      <c r="C189" s="171">
        <f>Bonuses!C24</f>
        <v>0</v>
      </c>
      <c r="D189" s="172">
        <f>Bonuses!D24</f>
        <v>0</v>
      </c>
      <c r="E189" s="34"/>
      <c r="F189" s="767" t="str">
        <f>Bonuses!B42</f>
        <v>Light blanket</v>
      </c>
      <c r="G189" s="768"/>
      <c r="H189" s="768"/>
      <c r="I189" s="768"/>
      <c r="J189" s="768"/>
      <c r="K189" s="171">
        <f>Bonuses!C42</f>
        <v>0</v>
      </c>
      <c r="L189" s="172">
        <f>Bonuses!D42</f>
        <v>2</v>
      </c>
    </row>
    <row r="190" spans="1:12" x14ac:dyDescent="0.2">
      <c r="A190" s="772">
        <f>Bonuses!B25</f>
        <v>0</v>
      </c>
      <c r="B190" s="768"/>
      <c r="C190" s="171">
        <f>Bonuses!C25</f>
        <v>0</v>
      </c>
      <c r="D190" s="172">
        <f>Bonuses!D25</f>
        <v>0</v>
      </c>
      <c r="E190" s="34"/>
      <c r="F190" s="767" t="str">
        <f>Bonuses!B43</f>
        <v>Flint &amp; Steel</v>
      </c>
      <c r="G190" s="768"/>
      <c r="H190" s="768"/>
      <c r="I190" s="768"/>
      <c r="J190" s="768"/>
      <c r="K190" s="171">
        <f>Bonuses!C43</f>
        <v>0</v>
      </c>
      <c r="L190" s="172">
        <f>Bonuses!D43</f>
        <v>0.5</v>
      </c>
    </row>
    <row r="191" spans="1:12" x14ac:dyDescent="0.2">
      <c r="A191" s="772">
        <f>Bonuses!B26</f>
        <v>0</v>
      </c>
      <c r="B191" s="768"/>
      <c r="C191" s="171">
        <f>Bonuses!C26</f>
        <v>0</v>
      </c>
      <c r="D191" s="172">
        <f>Bonuses!D26</f>
        <v>0</v>
      </c>
      <c r="E191" s="34"/>
      <c r="F191" s="767" t="str">
        <f>Bonuses!B44</f>
        <v>Hand Axe</v>
      </c>
      <c r="G191" s="768"/>
      <c r="H191" s="768"/>
      <c r="I191" s="768"/>
      <c r="J191" s="768"/>
      <c r="K191" s="171">
        <f>Bonuses!C44</f>
        <v>0</v>
      </c>
      <c r="L191" s="172">
        <f>Bonuses!D44</f>
        <v>2</v>
      </c>
    </row>
    <row r="192" spans="1:12" x14ac:dyDescent="0.2">
      <c r="A192" s="772">
        <f>Bonuses!B27</f>
        <v>0</v>
      </c>
      <c r="B192" s="768"/>
      <c r="C192" s="171">
        <f>Bonuses!C27</f>
        <v>0</v>
      </c>
      <c r="D192" s="172">
        <f>Bonuses!D27</f>
        <v>0</v>
      </c>
      <c r="E192" s="34"/>
      <c r="F192" s="767" t="str">
        <f>Bonuses!B45</f>
        <v>Small fry pan</v>
      </c>
      <c r="G192" s="768"/>
      <c r="H192" s="768"/>
      <c r="I192" s="768"/>
      <c r="J192" s="768"/>
      <c r="K192" s="171">
        <f>Bonuses!C45</f>
        <v>0</v>
      </c>
      <c r="L192" s="172">
        <f>Bonuses!D45</f>
        <v>2</v>
      </c>
    </row>
    <row r="193" spans="1:12" x14ac:dyDescent="0.2">
      <c r="A193" s="772">
        <f>Bonuses!B28</f>
        <v>0</v>
      </c>
      <c r="B193" s="768"/>
      <c r="C193" s="171">
        <f>Bonuses!C28</f>
        <v>0</v>
      </c>
      <c r="D193" s="172">
        <f>Bonuses!D28</f>
        <v>0</v>
      </c>
      <c r="E193" s="34"/>
      <c r="F193" s="767" t="str">
        <f>Bonuses!B46</f>
        <v>Waterskin, 1 gallon</v>
      </c>
      <c r="G193" s="768"/>
      <c r="H193" s="768"/>
      <c r="I193" s="768"/>
      <c r="J193" s="768"/>
      <c r="K193" s="171">
        <f>Bonuses!C46</f>
        <v>0</v>
      </c>
      <c r="L193" s="172">
        <f>Bonuses!D46</f>
        <v>9</v>
      </c>
    </row>
    <row r="194" spans="1:12" x14ac:dyDescent="0.2">
      <c r="A194" s="772">
        <f>Bonuses!B29</f>
        <v>0</v>
      </c>
      <c r="B194" s="768"/>
      <c r="C194" s="171">
        <f>Bonuses!C29</f>
        <v>0</v>
      </c>
      <c r="D194" s="172">
        <f>Bonuses!D29</f>
        <v>0</v>
      </c>
      <c r="E194" s="34"/>
      <c r="F194" s="767" t="str">
        <f>Bonuses!B47</f>
        <v>Tallow Candles (1 hr) x 12</v>
      </c>
      <c r="G194" s="768"/>
      <c r="H194" s="768"/>
      <c r="I194" s="768"/>
      <c r="J194" s="768"/>
      <c r="K194" s="171">
        <f>Bonuses!C47</f>
        <v>0</v>
      </c>
      <c r="L194" s="172">
        <f>Bonuses!D47</f>
        <v>2.25</v>
      </c>
    </row>
    <row r="195" spans="1:12" x14ac:dyDescent="0.2">
      <c r="A195" s="772">
        <f>Bonuses!B30</f>
        <v>0</v>
      </c>
      <c r="B195" s="768"/>
      <c r="C195" s="171">
        <f>Bonuses!C30</f>
        <v>0</v>
      </c>
      <c r="D195" s="172">
        <f>Bonuses!D30</f>
        <v>0</v>
      </c>
      <c r="E195" s="34"/>
      <c r="F195" s="767" t="str">
        <f>Bonuses!B48</f>
        <v>Canvas Tarp</v>
      </c>
      <c r="G195" s="768"/>
      <c r="H195" s="768"/>
      <c r="I195" s="768"/>
      <c r="J195" s="768"/>
      <c r="K195" s="171">
        <f>Bonuses!C48</f>
        <v>0</v>
      </c>
      <c r="L195" s="172">
        <f>Bonuses!D48</f>
        <v>8</v>
      </c>
    </row>
    <row r="196" spans="1:12" x14ac:dyDescent="0.2">
      <c r="A196" s="772">
        <f>Bonuses!B31</f>
        <v>0</v>
      </c>
      <c r="B196" s="768"/>
      <c r="C196" s="171">
        <f>Bonuses!C31</f>
        <v>0</v>
      </c>
      <c r="D196" s="172">
        <f>Bonuses!D31</f>
        <v>0</v>
      </c>
      <c r="E196" s="34"/>
      <c r="F196" s="767" t="str">
        <f>Bonuses!B49</f>
        <v>Large Sack, 40lb capacity</v>
      </c>
      <c r="G196" s="768"/>
      <c r="H196" s="768"/>
      <c r="I196" s="768"/>
      <c r="J196" s="768"/>
      <c r="K196" s="171">
        <f>Bonuses!C49</f>
        <v>0</v>
      </c>
      <c r="L196" s="172">
        <f>Bonuses!D49</f>
        <v>1</v>
      </c>
    </row>
    <row r="197" spans="1:12" x14ac:dyDescent="0.2">
      <c r="A197" s="772">
        <f>Bonuses!B32</f>
        <v>0</v>
      </c>
      <c r="B197" s="768"/>
      <c r="C197" s="171">
        <f>Bonuses!C32</f>
        <v>0</v>
      </c>
      <c r="D197" s="172">
        <f>Bonuses!D32</f>
        <v>0</v>
      </c>
      <c r="E197" s="34"/>
      <c r="F197" s="767" t="str">
        <f>Bonuses!B50</f>
        <v>Pair of Walking Boots</v>
      </c>
      <c r="G197" s="768"/>
      <c r="H197" s="768"/>
      <c r="I197" s="768"/>
      <c r="J197" s="768"/>
      <c r="K197" s="171">
        <f>Bonuses!C50</f>
        <v>0</v>
      </c>
      <c r="L197" s="172">
        <f>Bonuses!D50</f>
        <v>0</v>
      </c>
    </row>
    <row r="198" spans="1:12" x14ac:dyDescent="0.2">
      <c r="A198" s="777">
        <f>Bonuses!B33</f>
        <v>0</v>
      </c>
      <c r="B198" s="774"/>
      <c r="C198" s="173">
        <f>Bonuses!C33</f>
        <v>0</v>
      </c>
      <c r="D198" s="174">
        <f>Bonuses!D33</f>
        <v>0</v>
      </c>
      <c r="E198" s="34"/>
      <c r="F198" s="773" t="str">
        <f>Bonuses!B51</f>
        <v>Pitch torches x 3</v>
      </c>
      <c r="G198" s="774"/>
      <c r="H198" s="774"/>
      <c r="I198" s="774"/>
      <c r="J198" s="774"/>
      <c r="K198" s="173">
        <f>Bonuses!C51</f>
        <v>0</v>
      </c>
      <c r="L198" s="174">
        <f>Bonuses!D51</f>
        <v>3</v>
      </c>
    </row>
    <row r="199" spans="1:12" x14ac:dyDescent="0.2">
      <c r="F199" s="800" t="str">
        <f ca="1">"With Full Pack: "&amp;ROUND(Bonuses!$C$3+Bonuses!$D$3,0)&amp;"lbs  AG: "&amp;Stats!D11&amp;"  TMR: "&amp;Stats!J11</f>
        <v>With Full Pack: 60lbs  AG: 9  TMR: 4</v>
      </c>
      <c r="G199" s="800"/>
      <c r="H199" s="800"/>
      <c r="I199" s="800"/>
      <c r="J199" s="800"/>
      <c r="K199" s="800"/>
      <c r="L199" s="800"/>
    </row>
    <row r="200" spans="1:12" x14ac:dyDescent="0.2">
      <c r="B200" s="7" t="s">
        <v>321</v>
      </c>
    </row>
    <row r="201" spans="1:12" ht="14.25" x14ac:dyDescent="0.2">
      <c r="A201" s="383" t="str">
        <f>Setup!$B$2</f>
        <v>Character's name</v>
      </c>
      <c r="C201" s="197" t="str">
        <f>Stats!B1</f>
        <v>PS</v>
      </c>
      <c r="D201" s="197" t="str">
        <f>Stats!C1</f>
        <v>MD</v>
      </c>
      <c r="E201" s="197" t="str">
        <f>Stats!D1</f>
        <v>AG</v>
      </c>
      <c r="F201" s="197" t="str">
        <f>Stats!E1</f>
        <v>MA</v>
      </c>
      <c r="G201" s="197" t="str">
        <f>Stats!F1</f>
        <v>WP</v>
      </c>
      <c r="H201" s="197" t="str">
        <f>Stats!G1</f>
        <v>EN</v>
      </c>
      <c r="I201" s="197" t="str">
        <f>Stats!H1</f>
        <v>FT</v>
      </c>
      <c r="J201" s="197" t="str">
        <f>Stats!I1</f>
        <v>PC</v>
      </c>
    </row>
    <row r="202" spans="1:12" ht="14.25" x14ac:dyDescent="0.2">
      <c r="A202" s="383" t="str">
        <f>Setup!$B$1</f>
        <v>Your name</v>
      </c>
      <c r="C202" s="99">
        <f>Stats!B2</f>
        <v>15</v>
      </c>
      <c r="D202" s="99">
        <f>Stats!C2</f>
        <v>15</v>
      </c>
      <c r="E202" s="99">
        <f>Stats!D2</f>
        <v>15</v>
      </c>
      <c r="F202" s="99">
        <f>Stats!E2</f>
        <v>15</v>
      </c>
      <c r="G202" s="99">
        <f>Stats!F2</f>
        <v>15</v>
      </c>
      <c r="H202" s="99">
        <f>Stats!G2</f>
        <v>15</v>
      </c>
      <c r="I202" s="99">
        <f>Stats!H2</f>
        <v>20</v>
      </c>
      <c r="J202" s="99">
        <f>Stats!I2</f>
        <v>5</v>
      </c>
    </row>
  </sheetData>
  <sortState xmlns:xlrd2="http://schemas.microsoft.com/office/spreadsheetml/2017/richdata2" ref="P150:P176">
    <sortCondition ref="P150:P176"/>
  </sortState>
  <mergeCells count="242">
    <mergeCell ref="D71:L71"/>
    <mergeCell ref="J63:L63"/>
    <mergeCell ref="J64:L64"/>
    <mergeCell ref="F65:G65"/>
    <mergeCell ref="H65:I65"/>
    <mergeCell ref="D93:L93"/>
    <mergeCell ref="D94:L94"/>
    <mergeCell ref="D95:L95"/>
    <mergeCell ref="D96:L96"/>
    <mergeCell ref="D79:L79"/>
    <mergeCell ref="D80:L80"/>
    <mergeCell ref="D72:L72"/>
    <mergeCell ref="D73:L73"/>
    <mergeCell ref="D74:L74"/>
    <mergeCell ref="D75:L75"/>
    <mergeCell ref="D76:L76"/>
    <mergeCell ref="D77:L77"/>
    <mergeCell ref="D78:L78"/>
    <mergeCell ref="F69:G69"/>
    <mergeCell ref="D89:L89"/>
    <mergeCell ref="D85:L85"/>
    <mergeCell ref="D86:L86"/>
    <mergeCell ref="D87:L87"/>
    <mergeCell ref="D88:L88"/>
    <mergeCell ref="F60:G60"/>
    <mergeCell ref="H60:I60"/>
    <mergeCell ref="J60:L60"/>
    <mergeCell ref="F68:G68"/>
    <mergeCell ref="J65:L65"/>
    <mergeCell ref="F66:G66"/>
    <mergeCell ref="H66:I66"/>
    <mergeCell ref="J66:L66"/>
    <mergeCell ref="F67:G67"/>
    <mergeCell ref="H67:I67"/>
    <mergeCell ref="J67:L67"/>
    <mergeCell ref="F61:G61"/>
    <mergeCell ref="H61:I61"/>
    <mergeCell ref="J61:L61"/>
    <mergeCell ref="F199:L199"/>
    <mergeCell ref="F62:G62"/>
    <mergeCell ref="H62:I62"/>
    <mergeCell ref="J62:L62"/>
    <mergeCell ref="D83:L83"/>
    <mergeCell ref="D84:L84"/>
    <mergeCell ref="J69:L69"/>
    <mergeCell ref="F58:G58"/>
    <mergeCell ref="H58:I58"/>
    <mergeCell ref="J58:L58"/>
    <mergeCell ref="F59:G59"/>
    <mergeCell ref="H59:I59"/>
    <mergeCell ref="J59:L59"/>
    <mergeCell ref="H69:I69"/>
    <mergeCell ref="F63:G63"/>
    <mergeCell ref="H63:I63"/>
    <mergeCell ref="F64:G64"/>
    <mergeCell ref="H64:I64"/>
    <mergeCell ref="D82:L82"/>
    <mergeCell ref="D81:L81"/>
    <mergeCell ref="H68:I68"/>
    <mergeCell ref="J68:L68"/>
    <mergeCell ref="D108:L108"/>
    <mergeCell ref="D109:L109"/>
    <mergeCell ref="F56:G56"/>
    <mergeCell ref="H56:I56"/>
    <mergeCell ref="J56:L56"/>
    <mergeCell ref="F57:G57"/>
    <mergeCell ref="H57:I57"/>
    <mergeCell ref="J57:L57"/>
    <mergeCell ref="F54:G54"/>
    <mergeCell ref="H54:I54"/>
    <mergeCell ref="J54:L54"/>
    <mergeCell ref="F55:G55"/>
    <mergeCell ref="H55:I55"/>
    <mergeCell ref="J55:L55"/>
    <mergeCell ref="F50:G50"/>
    <mergeCell ref="H50:I50"/>
    <mergeCell ref="J50:L50"/>
    <mergeCell ref="F53:G53"/>
    <mergeCell ref="H53:I53"/>
    <mergeCell ref="J53:L53"/>
    <mergeCell ref="F51:G51"/>
    <mergeCell ref="H51:I51"/>
    <mergeCell ref="J51:L51"/>
    <mergeCell ref="F52:G52"/>
    <mergeCell ref="H52:I52"/>
    <mergeCell ref="J52:L52"/>
    <mergeCell ref="F46:G46"/>
    <mergeCell ref="J47:L47"/>
    <mergeCell ref="H48:I48"/>
    <mergeCell ref="J48:L48"/>
    <mergeCell ref="F49:G49"/>
    <mergeCell ref="H49:I49"/>
    <mergeCell ref="J49:L49"/>
    <mergeCell ref="H46:I46"/>
    <mergeCell ref="F41:G41"/>
    <mergeCell ref="H45:I45"/>
    <mergeCell ref="F47:G47"/>
    <mergeCell ref="H47:I47"/>
    <mergeCell ref="F48:G48"/>
    <mergeCell ref="F45:G45"/>
    <mergeCell ref="H42:I42"/>
    <mergeCell ref="H43:I43"/>
    <mergeCell ref="H44:I44"/>
    <mergeCell ref="F42:G42"/>
    <mergeCell ref="F43:G43"/>
    <mergeCell ref="F44:G44"/>
    <mergeCell ref="H41:I41"/>
    <mergeCell ref="J43:L43"/>
    <mergeCell ref="J44:L44"/>
    <mergeCell ref="J38:L38"/>
    <mergeCell ref="H36:I36"/>
    <mergeCell ref="J37:L37"/>
    <mergeCell ref="F34:G34"/>
    <mergeCell ref="H40:I40"/>
    <mergeCell ref="F37:G37"/>
    <mergeCell ref="F38:G38"/>
    <mergeCell ref="F39:G39"/>
    <mergeCell ref="F40:G40"/>
    <mergeCell ref="H37:I37"/>
    <mergeCell ref="H38:I38"/>
    <mergeCell ref="H39:I39"/>
    <mergeCell ref="A3:A9"/>
    <mergeCell ref="I14:K14"/>
    <mergeCell ref="J32:L32"/>
    <mergeCell ref="J33:L33"/>
    <mergeCell ref="B12:D12"/>
    <mergeCell ref="H33:I33"/>
    <mergeCell ref="H32:I32"/>
    <mergeCell ref="J35:L35"/>
    <mergeCell ref="J36:L36"/>
    <mergeCell ref="D123:L123"/>
    <mergeCell ref="D129:L129"/>
    <mergeCell ref="A2:D2"/>
    <mergeCell ref="B1:E1"/>
    <mergeCell ref="F32:G32"/>
    <mergeCell ref="F33:G33"/>
    <mergeCell ref="F1:L1"/>
    <mergeCell ref="J2:K2"/>
    <mergeCell ref="F2:I2"/>
    <mergeCell ref="F35:G35"/>
    <mergeCell ref="F36:G36"/>
    <mergeCell ref="J34:L34"/>
    <mergeCell ref="C14:D14"/>
    <mergeCell ref="G14:H14"/>
    <mergeCell ref="F31:G31"/>
    <mergeCell ref="H31:I31"/>
    <mergeCell ref="H34:I34"/>
    <mergeCell ref="H35:I35"/>
    <mergeCell ref="J40:L40"/>
    <mergeCell ref="J45:L45"/>
    <mergeCell ref="J39:L39"/>
    <mergeCell ref="J46:L46"/>
    <mergeCell ref="J41:L41"/>
    <mergeCell ref="J42:L42"/>
    <mergeCell ref="F197:J197"/>
    <mergeCell ref="F190:J190"/>
    <mergeCell ref="D118:L118"/>
    <mergeCell ref="D110:L110"/>
    <mergeCell ref="D111:L111"/>
    <mergeCell ref="D113:L113"/>
    <mergeCell ref="D114:L114"/>
    <mergeCell ref="D112:L112"/>
    <mergeCell ref="D133:L133"/>
    <mergeCell ref="F189:J189"/>
    <mergeCell ref="D145:L145"/>
    <mergeCell ref="F187:J187"/>
    <mergeCell ref="D146:L146"/>
    <mergeCell ref="D147:L147"/>
    <mergeCell ref="D148:L148"/>
    <mergeCell ref="F188:J188"/>
    <mergeCell ref="D124:L124"/>
    <mergeCell ref="D144:L144"/>
    <mergeCell ref="D143:L143"/>
    <mergeCell ref="D134:L134"/>
    <mergeCell ref="D142:L142"/>
    <mergeCell ref="D140:L140"/>
    <mergeCell ref="D132:L132"/>
    <mergeCell ref="D131:L131"/>
    <mergeCell ref="F198:J198"/>
    <mergeCell ref="A181:B181"/>
    <mergeCell ref="A182:B182"/>
    <mergeCell ref="A183:B183"/>
    <mergeCell ref="A184:B184"/>
    <mergeCell ref="A185:B185"/>
    <mergeCell ref="A186:B186"/>
    <mergeCell ref="A187:B187"/>
    <mergeCell ref="F196:J196"/>
    <mergeCell ref="A198:B198"/>
    <mergeCell ref="A193:B193"/>
    <mergeCell ref="A194:B194"/>
    <mergeCell ref="A195:B195"/>
    <mergeCell ref="A196:B196"/>
    <mergeCell ref="A197:B197"/>
    <mergeCell ref="A189:B189"/>
    <mergeCell ref="A190:B190"/>
    <mergeCell ref="A192:B192"/>
    <mergeCell ref="F186:J186"/>
    <mergeCell ref="F191:J191"/>
    <mergeCell ref="F195:J195"/>
    <mergeCell ref="F192:J192"/>
    <mergeCell ref="F193:J193"/>
    <mergeCell ref="A188:B188"/>
    <mergeCell ref="F194:J194"/>
    <mergeCell ref="F185:J185"/>
    <mergeCell ref="F184:J184"/>
    <mergeCell ref="D125:L125"/>
    <mergeCell ref="D126:L126"/>
    <mergeCell ref="D127:L127"/>
    <mergeCell ref="F181:J181"/>
    <mergeCell ref="A179:J179"/>
    <mergeCell ref="A191:B191"/>
    <mergeCell ref="F182:J182"/>
    <mergeCell ref="F183:J183"/>
    <mergeCell ref="D128:L128"/>
    <mergeCell ref="D130:L130"/>
    <mergeCell ref="D137:L137"/>
    <mergeCell ref="D138:L138"/>
    <mergeCell ref="D139:L139"/>
    <mergeCell ref="D90:L90"/>
    <mergeCell ref="D100:L100"/>
    <mergeCell ref="D101:L101"/>
    <mergeCell ref="D91:L91"/>
    <mergeCell ref="D92:L92"/>
    <mergeCell ref="D98:L98"/>
    <mergeCell ref="D99:L99"/>
    <mergeCell ref="D141:L141"/>
    <mergeCell ref="D119:L119"/>
    <mergeCell ref="D120:L120"/>
    <mergeCell ref="D135:L135"/>
    <mergeCell ref="D136:L136"/>
    <mergeCell ref="D121:L121"/>
    <mergeCell ref="D97:L97"/>
    <mergeCell ref="D102:L102"/>
    <mergeCell ref="D103:L103"/>
    <mergeCell ref="D104:L104"/>
    <mergeCell ref="D105:L105"/>
    <mergeCell ref="D106:L106"/>
    <mergeCell ref="D107:L107"/>
    <mergeCell ref="D115:L115"/>
    <mergeCell ref="D116:L116"/>
    <mergeCell ref="D117:L117"/>
    <mergeCell ref="D122:L122"/>
  </mergeCells>
  <phoneticPr fontId="3" type="noConversion"/>
  <conditionalFormatting sqref="I16:K29">
    <cfRule type="cellIs" dxfId="13" priority="11" stopIfTrue="1" operator="notEqual">
      <formula>""</formula>
    </cfRule>
  </conditionalFormatting>
  <conditionalFormatting sqref="G16:H29">
    <cfRule type="cellIs" dxfId="12" priority="12" stopIfTrue="1" operator="notEqual">
      <formula>""</formula>
    </cfRule>
  </conditionalFormatting>
  <conditionalFormatting sqref="C16:D29">
    <cfRule type="cellIs" dxfId="11" priority="13" stopIfTrue="1" operator="notEqual">
      <formula>""</formula>
    </cfRule>
  </conditionalFormatting>
  <conditionalFormatting sqref="O3">
    <cfRule type="cellIs" dxfId="10" priority="3" stopIfTrue="1" operator="greaterThan">
      <formula>$I$11*-1+EN</formula>
    </cfRule>
    <cfRule type="cellIs" dxfId="9" priority="4" stopIfTrue="1" operator="greaterThanOrEqual">
      <formula>EN</formula>
    </cfRule>
  </conditionalFormatting>
  <conditionalFormatting sqref="N3">
    <cfRule type="cellIs" dxfId="8" priority="1" stopIfTrue="1" operator="greaterThan">
      <formula>$I$11*-1+EN</formula>
    </cfRule>
    <cfRule type="cellIs" dxfId="7" priority="2" stopIfTrue="1" operator="greaterThanOrEqual">
      <formula>EN</formula>
    </cfRule>
  </conditionalFormatting>
  <pageMargins left="0.39370078740157483" right="0.39370078740157483" top="0.39370078740157483" bottom="0.39370078740157483" header="0.39370078740157483" footer="0.39370078740157483"/>
  <pageSetup paperSize="9" scale="71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B2A33-AC8A-4369-B642-E487258DA095}">
  <dimension ref="A1:W42"/>
  <sheetViews>
    <sheetView zoomScale="115" zoomScaleNormal="115" workbookViewId="0">
      <selection activeCell="I27" sqref="I27"/>
    </sheetView>
  </sheetViews>
  <sheetFormatPr defaultColWidth="8.7109375" defaultRowHeight="12.75" x14ac:dyDescent="0.2"/>
  <cols>
    <col min="1" max="1" width="29.28515625" style="708" customWidth="1"/>
    <col min="2" max="2" width="4.5703125" style="708" customWidth="1"/>
    <col min="3" max="8" width="8.7109375" style="708"/>
    <col min="9" max="9" width="8.7109375" style="706"/>
    <col min="10" max="10" width="5.7109375" style="711" customWidth="1"/>
    <col min="11" max="11" width="10.140625" style="711" customWidth="1"/>
    <col min="12" max="16" width="8.7109375" style="708"/>
    <col min="17" max="17" width="10.42578125" style="708" customWidth="1"/>
    <col min="18" max="16384" width="8.7109375" style="708"/>
  </cols>
  <sheetData>
    <row r="1" spans="1:20" s="701" customFormat="1" ht="12" x14ac:dyDescent="0.2">
      <c r="A1" s="698" t="s">
        <v>1918</v>
      </c>
      <c r="B1" s="699">
        <v>0</v>
      </c>
      <c r="C1" s="700" t="s">
        <v>1919</v>
      </c>
      <c r="E1" s="700" t="s">
        <v>1920</v>
      </c>
      <c r="F1" s="702">
        <f>-1-B1+S15</f>
        <v>-1</v>
      </c>
      <c r="G1" s="701" t="s">
        <v>1921</v>
      </c>
      <c r="I1" s="702"/>
      <c r="S1" s="701" t="s">
        <v>365</v>
      </c>
    </row>
    <row r="2" spans="1:20" x14ac:dyDescent="0.2">
      <c r="A2" s="703" t="s">
        <v>1922</v>
      </c>
      <c r="B2" s="704" t="s">
        <v>129</v>
      </c>
      <c r="C2" s="704" t="s">
        <v>1923</v>
      </c>
      <c r="D2" s="704" t="s">
        <v>1924</v>
      </c>
      <c r="E2" s="704" t="s">
        <v>1925</v>
      </c>
      <c r="F2" s="704" t="s">
        <v>1926</v>
      </c>
      <c r="G2" s="705" t="s">
        <v>1927</v>
      </c>
      <c r="H2" s="705" t="s">
        <v>1928</v>
      </c>
      <c r="J2" s="707" t="s">
        <v>144</v>
      </c>
      <c r="K2" s="707" t="s">
        <v>1929</v>
      </c>
      <c r="L2" s="707" t="s">
        <v>1191</v>
      </c>
      <c r="M2" s="707" t="s">
        <v>1930</v>
      </c>
      <c r="N2" s="707" t="s">
        <v>1931</v>
      </c>
      <c r="Q2" s="709" t="s">
        <v>1932</v>
      </c>
      <c r="R2" s="708" t="s">
        <v>144</v>
      </c>
      <c r="S2" s="708" t="s">
        <v>1933</v>
      </c>
      <c r="T2" s="708" t="s">
        <v>1934</v>
      </c>
    </row>
    <row r="3" spans="1:20" x14ac:dyDescent="0.2">
      <c r="A3" s="705" t="s">
        <v>1935</v>
      </c>
      <c r="C3" s="710">
        <v>0</v>
      </c>
      <c r="F3" s="710"/>
      <c r="Q3" s="709" t="s">
        <v>1922</v>
      </c>
      <c r="R3" s="708">
        <v>0</v>
      </c>
      <c r="S3" s="708">
        <f>S4</f>
        <v>0</v>
      </c>
      <c r="T3" s="708">
        <f>T4</f>
        <v>0</v>
      </c>
    </row>
    <row r="4" spans="1:20" s="721" customFormat="1" ht="15" customHeight="1" x14ac:dyDescent="0.2">
      <c r="A4" s="708" t="s">
        <v>74</v>
      </c>
      <c r="B4" s="712">
        <f ca="1">VLOOKUP($A4,'Summary (P)'!$A$16:$E$35,3,0)</f>
        <v>16</v>
      </c>
      <c r="C4" s="713"/>
      <c r="D4" s="713"/>
      <c r="E4" s="714" t="str">
        <f t="shared" ref="E4:E14" si="0">IF(C4="","",$J4-$K4)</f>
        <v/>
      </c>
      <c r="F4" s="715" t="str">
        <f>IF(D4="","",D4+L4+$F$3+$T$15)</f>
        <v/>
      </c>
      <c r="G4" s="716" t="str">
        <f t="shared" ref="G4:G14" si="1">IF(C4="","",MAX(0,$J4-TRUNC($K4/$M4,0)))</f>
        <v/>
      </c>
      <c r="H4" s="716" t="str">
        <f t="shared" ref="H4:H14" si="2">IF(C4="","",MAX(0,$J4-($K4/$N4)))</f>
        <v/>
      </c>
      <c r="I4" s="717">
        <f ca="1">VLOOKUP($A4,'Summary (P)'!$A$16:$E$35,5,0)</f>
        <v>-4</v>
      </c>
      <c r="J4" s="718">
        <f ca="1">VLOOKUP($A4,'Summary (P)'!$A$16:$E$35,4,0)+$C$3+$R$15</f>
        <v>22</v>
      </c>
      <c r="K4" s="718">
        <f>MAX(1,'Attack Rolls'!C4+$F$1)</f>
        <v>1</v>
      </c>
      <c r="L4" s="719" t="str">
        <f ca="1">RIGHT(VLOOKUP($A4,'Summary (P)'!$A$16:$E$35,5,0),2)</f>
        <v>-4</v>
      </c>
      <c r="M4" s="720">
        <v>0.15</v>
      </c>
      <c r="N4" s="720">
        <v>0.05</v>
      </c>
      <c r="Q4" s="712" t="s">
        <v>1936</v>
      </c>
      <c r="R4" s="721">
        <v>10</v>
      </c>
      <c r="S4" s="721">
        <f>TRUNC(S5/3,0)</f>
        <v>0</v>
      </c>
      <c r="T4" s="721">
        <f>TRUNC(T5/3,0)</f>
        <v>0</v>
      </c>
    </row>
    <row r="5" spans="1:20" s="721" customFormat="1" ht="15" customHeight="1" x14ac:dyDescent="0.2">
      <c r="A5" s="708" t="str">
        <f ca="1">'Summary (P)'!A17</f>
        <v>Small Round</v>
      </c>
      <c r="B5" s="712">
        <f ca="1">VLOOKUP($A5,'Summary (P)'!$A$16:$E$35,3,0)</f>
        <v>16</v>
      </c>
      <c r="C5" s="713"/>
      <c r="D5" s="713"/>
      <c r="E5" s="714" t="str">
        <f t="shared" si="0"/>
        <v/>
      </c>
      <c r="F5" s="715" t="str">
        <f t="shared" ref="F5:F14" si="3">IF(D5="","",D5+L5+$F$3+$T$15)</f>
        <v/>
      </c>
      <c r="G5" s="716" t="str">
        <f t="shared" si="1"/>
        <v/>
      </c>
      <c r="H5" s="716" t="str">
        <f t="shared" si="2"/>
        <v/>
      </c>
      <c r="I5" s="717">
        <f ca="1">VLOOKUP($A5,'Summary (P)'!$A$16:$E$35,5,0)</f>
        <v>-1</v>
      </c>
      <c r="J5" s="718">
        <f ca="1">VLOOKUP($A5,'Summary (P)'!$A$16:$E$35,4,0)+$C$3+$R$15</f>
        <v>40</v>
      </c>
      <c r="K5" s="718">
        <f>MAX(1,'Attack Rolls'!C5+$F$1)</f>
        <v>1</v>
      </c>
      <c r="L5" s="719" t="str">
        <f ca="1">RIGHT(VLOOKUP($A5,'Summary (P)'!$A$16:$E$35,5,0),2)</f>
        <v>-1</v>
      </c>
      <c r="M5" s="720">
        <v>0.15</v>
      </c>
      <c r="N5" s="720">
        <v>0.05</v>
      </c>
      <c r="Q5" s="712" t="s">
        <v>1937</v>
      </c>
      <c r="R5" s="721">
        <v>30</v>
      </c>
      <c r="S5" s="721">
        <f>'Spec Grev'!$J$2*-1</f>
        <v>0</v>
      </c>
      <c r="T5" s="721">
        <f>'Spec Grev'!$J$2*1</f>
        <v>0</v>
      </c>
    </row>
    <row r="6" spans="1:20" s="721" customFormat="1" ht="15" customHeight="1" x14ac:dyDescent="0.2">
      <c r="A6" s="708" t="str">
        <f ca="1">'Summary (P)'!A18</f>
        <v>Battle Axe (1-2)</v>
      </c>
      <c r="B6" s="712">
        <f ca="1">VLOOKUP($A6,'Summary (P)'!$A$16:$E$35,3,0)</f>
        <v>16</v>
      </c>
      <c r="C6" s="713"/>
      <c r="D6" s="713"/>
      <c r="E6" s="714" t="str">
        <f t="shared" si="0"/>
        <v/>
      </c>
      <c r="F6" s="715" t="str">
        <f t="shared" si="3"/>
        <v/>
      </c>
      <c r="G6" s="716" t="str">
        <f t="shared" si="1"/>
        <v/>
      </c>
      <c r="H6" s="716" t="str">
        <f t="shared" si="2"/>
        <v/>
      </c>
      <c r="I6" s="717">
        <f ca="1">VLOOKUP($A6,'Summary (P)'!$A$16:$E$35,5,0)</f>
        <v>4</v>
      </c>
      <c r="J6" s="718">
        <f ca="1">VLOOKUP($A6,'Summary (P)'!$A$16:$E$35,4,0)+$C$3+$R$15</f>
        <v>60</v>
      </c>
      <c r="K6" s="718">
        <f>MAX(1,'Attack Rolls'!C6+$F$1)</f>
        <v>1</v>
      </c>
      <c r="L6" s="719" t="str">
        <f ca="1">RIGHT(VLOOKUP($A6,'Summary (P)'!$A$16:$E$35,5,0),2)</f>
        <v>4</v>
      </c>
      <c r="M6" s="720">
        <v>0.15</v>
      </c>
      <c r="N6" s="720">
        <v>0.05</v>
      </c>
      <c r="Q6" s="712" t="s">
        <v>1938</v>
      </c>
      <c r="R6" s="721">
        <v>0</v>
      </c>
      <c r="S6" s="721">
        <f>'Spec Grev'!$J$2*-2</f>
        <v>0</v>
      </c>
      <c r="T6" s="721">
        <f>'Spec Grev'!$J$2*2</f>
        <v>0</v>
      </c>
    </row>
    <row r="7" spans="1:20" s="721" customFormat="1" ht="15" customHeight="1" x14ac:dyDescent="0.2">
      <c r="A7" s="708" t="str">
        <f ca="1">'Summary (P)'!A19</f>
        <v>Falchion</v>
      </c>
      <c r="B7" s="712">
        <f ca="1">VLOOKUP($A7,'Summary (P)'!$A$16:$E$35,3,0)</f>
        <v>16</v>
      </c>
      <c r="C7" s="713"/>
      <c r="D7" s="713"/>
      <c r="E7" s="714" t="str">
        <f t="shared" si="0"/>
        <v/>
      </c>
      <c r="F7" s="715" t="str">
        <f t="shared" si="3"/>
        <v/>
      </c>
      <c r="G7" s="716" t="str">
        <f t="shared" si="1"/>
        <v/>
      </c>
      <c r="H7" s="716" t="str">
        <f t="shared" si="2"/>
        <v/>
      </c>
      <c r="I7" s="717">
        <f ca="1">VLOOKUP($A7,'Summary (P)'!$A$16:$E$35,5,0)</f>
        <v>2</v>
      </c>
      <c r="J7" s="718">
        <f ca="1">VLOOKUP($A7,'Summary (P)'!$A$16:$E$35,4,0)+$C$3+$R$15</f>
        <v>50</v>
      </c>
      <c r="K7" s="718">
        <f>MAX(1,'Attack Rolls'!C7+$F$1)</f>
        <v>1</v>
      </c>
      <c r="L7" s="719" t="str">
        <f ca="1">RIGHT(VLOOKUP($A7,'Summary (P)'!$A$16:$E$35,5,0),2)</f>
        <v>2</v>
      </c>
      <c r="M7" s="720">
        <v>0.15</v>
      </c>
      <c r="N7" s="720">
        <v>0.05</v>
      </c>
      <c r="Q7" s="712" t="s">
        <v>1939</v>
      </c>
      <c r="R7" s="721">
        <v>10</v>
      </c>
      <c r="S7" s="721">
        <f t="shared" ref="S7:T8" si="4">S6</f>
        <v>0</v>
      </c>
      <c r="T7" s="721">
        <f>T6</f>
        <v>0</v>
      </c>
    </row>
    <row r="8" spans="1:20" s="721" customFormat="1" ht="15" customHeight="1" x14ac:dyDescent="0.2">
      <c r="A8" s="708" t="str">
        <f ca="1">'Summary (P)'!A20</f>
        <v>Dagger</v>
      </c>
      <c r="B8" s="712">
        <f ca="1">VLOOKUP($A8,'Summary (P)'!$A$16:$E$35,3,0)</f>
        <v>16</v>
      </c>
      <c r="C8" s="713"/>
      <c r="D8" s="713"/>
      <c r="E8" s="722" t="str">
        <f t="shared" si="0"/>
        <v/>
      </c>
      <c r="F8" s="715" t="str">
        <f t="shared" si="3"/>
        <v/>
      </c>
      <c r="G8" s="723" t="str">
        <f t="shared" si="1"/>
        <v/>
      </c>
      <c r="H8" s="723" t="str">
        <f t="shared" si="2"/>
        <v/>
      </c>
      <c r="I8" s="717">
        <f ca="1">VLOOKUP($A8,'Summary (P)'!$A$16:$E$35,5,0)</f>
        <v>1</v>
      </c>
      <c r="J8" s="718">
        <f ca="1">VLOOKUP($A8,'Summary (P)'!$A$16:$E$35,4,0)+$C$3+$R$15</f>
        <v>40</v>
      </c>
      <c r="K8" s="718">
        <f>MAX(1,'Attack Rolls'!C8+$F$1)</f>
        <v>1</v>
      </c>
      <c r="L8" s="719" t="str">
        <f ca="1">RIGHT(VLOOKUP($A8,'Summary (P)'!$A$16:$E$35,5,0),2)</f>
        <v>1</v>
      </c>
      <c r="M8" s="720">
        <v>0.15</v>
      </c>
      <c r="N8" s="720">
        <v>0.05</v>
      </c>
      <c r="Q8" s="712" t="s">
        <v>1940</v>
      </c>
      <c r="R8" s="721">
        <v>30</v>
      </c>
      <c r="S8" s="721">
        <f t="shared" si="4"/>
        <v>0</v>
      </c>
      <c r="T8" s="721">
        <f t="shared" si="4"/>
        <v>0</v>
      </c>
    </row>
    <row r="9" spans="1:20" s="721" customFormat="1" ht="15" customHeight="1" x14ac:dyDescent="0.2">
      <c r="A9" s="708" t="str">
        <f ca="1">'Summary (P)'!A21</f>
        <v>Tulwar</v>
      </c>
      <c r="B9" s="712">
        <f ca="1">VLOOKUP($A9,'Summary (P)'!$A$16:$E$35,3,0)</f>
        <v>16</v>
      </c>
      <c r="C9" s="713"/>
      <c r="D9" s="713"/>
      <c r="E9" s="722" t="str">
        <f t="shared" si="0"/>
        <v/>
      </c>
      <c r="F9" s="715" t="str">
        <f t="shared" si="3"/>
        <v/>
      </c>
      <c r="G9" s="723" t="str">
        <f t="shared" si="1"/>
        <v/>
      </c>
      <c r="H9" s="723" t="str">
        <f t="shared" si="2"/>
        <v/>
      </c>
      <c r="I9" s="717">
        <f ca="1">VLOOKUP($A9,'Summary (P)'!$A$16:$E$35,5,0)</f>
        <v>4</v>
      </c>
      <c r="J9" s="718">
        <f ca="1">VLOOKUP($A9,'Summary (P)'!$A$16:$E$35,4,0)+$C$3+$R$15</f>
        <v>50</v>
      </c>
      <c r="K9" s="718">
        <f>MAX(1,'Attack Rolls'!C9+$F$1)</f>
        <v>1</v>
      </c>
      <c r="L9" s="719" t="str">
        <f ca="1">RIGHT(VLOOKUP($A9,'Summary (P)'!$A$16:$E$35,5,0),2)</f>
        <v>4</v>
      </c>
      <c r="M9" s="720">
        <v>0.15</v>
      </c>
      <c r="N9" s="720">
        <v>0.05</v>
      </c>
    </row>
    <row r="10" spans="1:20" x14ac:dyDescent="0.2">
      <c r="A10" s="708" t="str">
        <f ca="1">'Summary (P)'!A22</f>
        <v>Sabre</v>
      </c>
      <c r="B10" s="712">
        <f ca="1">VLOOKUP($A10,'Summary (P)'!$A$16:$E$35,3,0)</f>
        <v>16</v>
      </c>
      <c r="C10" s="713"/>
      <c r="D10" s="713"/>
      <c r="E10" s="714" t="str">
        <f t="shared" si="0"/>
        <v/>
      </c>
      <c r="F10" s="715" t="str">
        <f t="shared" si="3"/>
        <v/>
      </c>
      <c r="G10" s="716" t="str">
        <f t="shared" si="1"/>
        <v/>
      </c>
      <c r="H10" s="716" t="str">
        <f t="shared" si="2"/>
        <v/>
      </c>
      <c r="I10" s="717">
        <f ca="1">VLOOKUP($A10,'Summary (P)'!$A$16:$E$35,5,0)</f>
        <v>3</v>
      </c>
      <c r="J10" s="718">
        <f ca="1">VLOOKUP($A10,'Summary (P)'!$A$16:$E$35,4,0)+$C$3+$R$15</f>
        <v>60</v>
      </c>
      <c r="K10" s="718">
        <f>MAX(1,'Attack Rolls'!C10+$F$1)</f>
        <v>1</v>
      </c>
      <c r="L10" s="719" t="str">
        <f ca="1">RIGHT(VLOOKUP($A10,'Summary (P)'!$A$16:$E$35,5,0),2)</f>
        <v>3</v>
      </c>
      <c r="M10" s="720">
        <v>0.15</v>
      </c>
      <c r="N10" s="720">
        <v>0.05</v>
      </c>
    </row>
    <row r="11" spans="1:20" x14ac:dyDescent="0.2">
      <c r="A11" s="708" t="str">
        <f ca="1">'Summary (P)'!A23</f>
        <v>Broadsword</v>
      </c>
      <c r="B11" s="712">
        <f ca="1">VLOOKUP($A11,'Summary (P)'!$A$16:$E$35,3,0)</f>
        <v>16</v>
      </c>
      <c r="C11" s="713"/>
      <c r="D11" s="713"/>
      <c r="E11" s="714" t="str">
        <f t="shared" si="0"/>
        <v/>
      </c>
      <c r="F11" s="715" t="str">
        <f t="shared" si="3"/>
        <v/>
      </c>
      <c r="G11" s="716" t="str">
        <f t="shared" si="1"/>
        <v/>
      </c>
      <c r="H11" s="716" t="str">
        <f t="shared" si="2"/>
        <v/>
      </c>
      <c r="I11" s="717">
        <f ca="1">VLOOKUP($A11,'Summary (P)'!$A$16:$E$35,5,0)</f>
        <v>4</v>
      </c>
      <c r="J11" s="718">
        <f ca="1">VLOOKUP($A11,'Summary (P)'!$A$16:$E$35,4,0)+$C$3+$R$15</f>
        <v>55</v>
      </c>
      <c r="K11" s="718">
        <f>MAX(1,'Attack Rolls'!C11+$F$1)</f>
        <v>1</v>
      </c>
      <c r="L11" s="719" t="str">
        <f ca="1">RIGHT(VLOOKUP($A11,'Summary (P)'!$A$16:$E$35,5,0),2)</f>
        <v>4</v>
      </c>
      <c r="M11" s="720">
        <v>0.15</v>
      </c>
      <c r="N11" s="720">
        <v>0.05</v>
      </c>
    </row>
    <row r="12" spans="1:20" x14ac:dyDescent="0.2">
      <c r="A12" s="708" t="str">
        <f ca="1">'Summary (P)'!A24</f>
        <v>Estoc</v>
      </c>
      <c r="B12" s="712">
        <f ca="1">VLOOKUP($A12,'Summary (P)'!$A$16:$E$35,3,0)</f>
        <v>16</v>
      </c>
      <c r="C12" s="713"/>
      <c r="D12" s="713"/>
      <c r="E12" s="714" t="str">
        <f t="shared" si="0"/>
        <v/>
      </c>
      <c r="F12" s="715" t="str">
        <f t="shared" si="3"/>
        <v/>
      </c>
      <c r="G12" s="716" t="str">
        <f t="shared" si="1"/>
        <v/>
      </c>
      <c r="H12" s="716" t="str">
        <f t="shared" si="2"/>
        <v/>
      </c>
      <c r="I12" s="717">
        <f ca="1">VLOOKUP($A12,'Summary (P)'!$A$16:$E$35,5,0)</f>
        <v>5</v>
      </c>
      <c r="J12" s="718">
        <f ca="1">VLOOKUP($A12,'Summary (P)'!$A$16:$E$35,4,0)+$C$3+$R$15</f>
        <v>45</v>
      </c>
      <c r="K12" s="718">
        <f>MAX(1,'Attack Rolls'!C12+$F$1)</f>
        <v>1</v>
      </c>
      <c r="L12" s="719" t="str">
        <f ca="1">RIGHT(VLOOKUP($A12,'Summary (P)'!$A$16:$E$35,5,0),2)</f>
        <v>5</v>
      </c>
      <c r="M12" s="720">
        <v>0.15</v>
      </c>
      <c r="N12" s="720">
        <v>0.05</v>
      </c>
    </row>
    <row r="13" spans="1:20" x14ac:dyDescent="0.2">
      <c r="A13" s="708" t="str">
        <f ca="1">'Summary (P)'!A25</f>
        <v>War Hammer</v>
      </c>
      <c r="B13" s="712">
        <f ca="1">VLOOKUP($A13,'Summary (P)'!$A$16:$E$35,3,0)</f>
        <v>16</v>
      </c>
      <c r="C13" s="713"/>
      <c r="D13" s="713"/>
      <c r="E13" s="714" t="str">
        <f t="shared" si="0"/>
        <v/>
      </c>
      <c r="F13" s="715" t="str">
        <f t="shared" si="3"/>
        <v/>
      </c>
      <c r="G13" s="716" t="str">
        <f t="shared" si="1"/>
        <v/>
      </c>
      <c r="H13" s="716" t="str">
        <f t="shared" si="2"/>
        <v/>
      </c>
      <c r="I13" s="717">
        <f ca="1">VLOOKUP($A13,'Summary (P)'!$A$16:$E$35,5,0)</f>
        <v>3</v>
      </c>
      <c r="J13" s="718">
        <f ca="1">VLOOKUP($A13,'Summary (P)'!$A$16:$E$35,4,0)+$C$3+$R$15</f>
        <v>45</v>
      </c>
      <c r="K13" s="718">
        <f>MAX(1,'Attack Rolls'!C13+$F$1)</f>
        <v>1</v>
      </c>
      <c r="L13" s="719" t="str">
        <f ca="1">RIGHT(VLOOKUP($A13,'Summary (P)'!$A$16:$E$35,5,0),2)</f>
        <v>3</v>
      </c>
      <c r="M13" s="720">
        <v>0.15</v>
      </c>
      <c r="N13" s="720">
        <v>0.05</v>
      </c>
    </row>
    <row r="14" spans="1:20" x14ac:dyDescent="0.2">
      <c r="A14" s="708" t="str">
        <f ca="1">'Summary (P)'!A26</f>
        <v>Javelin</v>
      </c>
      <c r="B14" s="712">
        <f ca="1">VLOOKUP($A14,'Summary (P)'!$A$16:$E$35,3,0)</f>
        <v>16</v>
      </c>
      <c r="C14" s="713"/>
      <c r="D14" s="713"/>
      <c r="E14" s="714" t="str">
        <f t="shared" si="0"/>
        <v/>
      </c>
      <c r="F14" s="715" t="str">
        <f t="shared" si="3"/>
        <v/>
      </c>
      <c r="G14" s="716" t="str">
        <f t="shared" si="1"/>
        <v/>
      </c>
      <c r="H14" s="716" t="str">
        <f t="shared" si="2"/>
        <v/>
      </c>
      <c r="I14" s="717">
        <f ca="1">VLOOKUP($A14,'Summary (P)'!$A$16:$E$35,5,0)</f>
        <v>2</v>
      </c>
      <c r="J14" s="718">
        <f ca="1">VLOOKUP($A14,'Summary (P)'!$A$16:$E$35,4,0)+$C$3+$R$15</f>
        <v>45</v>
      </c>
      <c r="K14" s="718">
        <f>MAX(1,'Attack Rolls'!C14+$F$1)</f>
        <v>1</v>
      </c>
      <c r="L14" s="719" t="str">
        <f ca="1">RIGHT(VLOOKUP($A14,'Summary (P)'!$A$16:$E$35,5,0),2)</f>
        <v>2</v>
      </c>
      <c r="M14" s="720">
        <v>0.15</v>
      </c>
      <c r="N14" s="720">
        <v>0.05</v>
      </c>
    </row>
    <row r="15" spans="1:20" x14ac:dyDescent="0.2">
      <c r="A15" s="705" t="s">
        <v>1941</v>
      </c>
      <c r="C15" s="710">
        <v>0</v>
      </c>
      <c r="F15" s="710">
        <v>0</v>
      </c>
      <c r="Q15" s="725" t="s">
        <v>1942</v>
      </c>
      <c r="R15" s="726">
        <f>IFERROR(VLOOKUP($A$2,$Q$3:$T$9,2,FALSE),0)</f>
        <v>0</v>
      </c>
      <c r="S15" s="726">
        <f>IFERROR(VLOOKUP($A$2,$Q$3:$T$9,3,FALSE),0)</f>
        <v>0</v>
      </c>
      <c r="T15" s="726">
        <f>IFERROR(VLOOKUP($A$2,$Q$3:$T$9,4,FALSE),0)</f>
        <v>0</v>
      </c>
    </row>
    <row r="16" spans="1:20" x14ac:dyDescent="0.2">
      <c r="A16" s="724" t="s">
        <v>74</v>
      </c>
      <c r="B16" s="712">
        <f ca="1">VLOOKUP($A16,'Summary (P)'!$A$16:$K$35,7,0)</f>
        <v>16</v>
      </c>
      <c r="C16" s="713"/>
      <c r="D16" s="713"/>
      <c r="E16" s="714" t="str">
        <f>IF(C16="","",$J16-$K16)</f>
        <v/>
      </c>
      <c r="F16" s="715" t="str">
        <f>IF(D16="","",D16+L16+$F$15+$T$15)</f>
        <v/>
      </c>
      <c r="G16" s="716" t="str">
        <f>IF(C16="","",MAX(0,$J16-TRUNC($K16/$M16,0)))</f>
        <v/>
      </c>
      <c r="H16" s="716" t="str">
        <f>IF(C16="","",MAX(0,$J16-($K16/$N16)))</f>
        <v/>
      </c>
      <c r="I16" s="717">
        <f ca="1">VLOOKUP($A16,'Summary (P)'!$A$16:$E$35,5,0)</f>
        <v>-4</v>
      </c>
      <c r="J16" s="718">
        <f ca="1">VLOOKUP($A16,'Summary (P)'!$A$16:$K$35,8,0)+$C$15+$R$15</f>
        <v>22</v>
      </c>
      <c r="K16" s="718">
        <f>MAX(1,'Attack Rolls'!C16+$F$1)</f>
        <v>1</v>
      </c>
      <c r="L16" s="719" t="str">
        <f ca="1">RIGHT(VLOOKUP($A16,'Summary (P)'!$A$16:$E$35,5,0),2)</f>
        <v>-4</v>
      </c>
      <c r="M16" s="720">
        <v>0.15</v>
      </c>
      <c r="N16" s="720">
        <v>0.05</v>
      </c>
    </row>
    <row r="17" spans="1:23" x14ac:dyDescent="0.2">
      <c r="A17" s="724" t="s">
        <v>26</v>
      </c>
      <c r="B17" s="712">
        <f ca="1">VLOOKUP($A17,'Summary (P)'!$A$16:$K$35,7,0)</f>
        <v>16</v>
      </c>
      <c r="C17" s="713"/>
      <c r="D17" s="713"/>
      <c r="E17" s="714" t="str">
        <f>IF(C17="","",$J17-$K17)</f>
        <v/>
      </c>
      <c r="F17" s="715" t="str">
        <f t="shared" ref="F17:F18" si="5">IF(D17="","",D17+L17+$F$15+$T$15)</f>
        <v/>
      </c>
      <c r="G17" s="716" t="str">
        <f>IF(C17="","",MAX(0,$J17-TRUNC($K17/$M17,0)))</f>
        <v/>
      </c>
      <c r="H17" s="716" t="str">
        <f>IF(C17="","",MAX(0,$J17-($K17/$N17)))</f>
        <v/>
      </c>
      <c r="I17" s="717">
        <f ca="1">VLOOKUP($A17,'Summary (P)'!$A$16:$E$35,5,0)</f>
        <v>1</v>
      </c>
      <c r="J17" s="718">
        <f ca="1">VLOOKUP($A17,'Summary (P)'!$A$16:$K$35,8,0)+$C$15+$R$15</f>
        <v>40</v>
      </c>
      <c r="K17" s="718">
        <f>MAX(1,'Attack Rolls'!C17+$F$1)</f>
        <v>1</v>
      </c>
      <c r="L17" s="719" t="str">
        <f ca="1">RIGHT(VLOOKUP($A17,'Summary (P)'!$A$16:$E$35,5,0),2)</f>
        <v>1</v>
      </c>
      <c r="M17" s="720">
        <v>0.15</v>
      </c>
      <c r="N17" s="720">
        <v>0.05</v>
      </c>
    </row>
    <row r="18" spans="1:23" x14ac:dyDescent="0.2">
      <c r="A18" s="724" t="s">
        <v>26</v>
      </c>
      <c r="B18" s="712">
        <f ca="1">VLOOKUP($A18,'Summary (P)'!$A$16:$K$35,7,0)</f>
        <v>16</v>
      </c>
      <c r="C18" s="713"/>
      <c r="D18" s="713"/>
      <c r="E18" s="714" t="str">
        <f>IF(C18="","",$J18-$K18)</f>
        <v/>
      </c>
      <c r="F18" s="715" t="str">
        <f t="shared" si="5"/>
        <v/>
      </c>
      <c r="G18" s="716" t="str">
        <f>IF(C18="","",MAX(0,$J18-TRUNC($K18/$M18,0)))</f>
        <v/>
      </c>
      <c r="H18" s="716" t="str">
        <f>IF(C18="","",MAX(0,$J18-($K18/$N18)))</f>
        <v/>
      </c>
      <c r="I18" s="717">
        <f ca="1">VLOOKUP($A18,'Summary (P)'!$A$16:$E$35,5,0)</f>
        <v>1</v>
      </c>
      <c r="J18" s="718">
        <f ca="1">VLOOKUP($A18,'Summary (P)'!$A$16:$K$35,8,0)+$C$15+$R$15</f>
        <v>40</v>
      </c>
      <c r="K18" s="718">
        <f>MAX(1,'Attack Rolls'!C18+$F$1)</f>
        <v>1</v>
      </c>
      <c r="L18" s="719" t="str">
        <f ca="1">RIGHT(VLOOKUP($A18,'Summary (P)'!$A$16:$E$35,5,0),2)</f>
        <v>1</v>
      </c>
      <c r="M18" s="720">
        <v>0.15</v>
      </c>
      <c r="N18" s="720">
        <v>0.05</v>
      </c>
    </row>
    <row r="19" spans="1:23" x14ac:dyDescent="0.2">
      <c r="A19" s="705" t="s">
        <v>1943</v>
      </c>
      <c r="C19" s="710">
        <v>0</v>
      </c>
      <c r="F19" s="710">
        <v>0</v>
      </c>
    </row>
    <row r="20" spans="1:23" x14ac:dyDescent="0.2">
      <c r="A20" s="724" t="s">
        <v>1944</v>
      </c>
      <c r="B20" s="712" t="e">
        <f ca="1">VLOOKUP($A20,'Summary (P)'!$A$16:$K$35,10,0)</f>
        <v>#N/A</v>
      </c>
      <c r="C20" s="713"/>
      <c r="D20" s="713"/>
      <c r="E20" s="714" t="str">
        <f>IF(C20="","",$J20-$K20)</f>
        <v/>
      </c>
      <c r="F20" s="715" t="str">
        <f>IF(D20="","",D20+L20+$F$19+$T$15)</f>
        <v/>
      </c>
      <c r="G20" s="716" t="str">
        <f>IF(C20="","",MAX(0,$J20-TRUNC($K20/$M20,0)))</f>
        <v/>
      </c>
      <c r="H20" s="716" t="str">
        <f>IF(C20="","",MAX(0,$J20-($K20/$N20)))</f>
        <v/>
      </c>
      <c r="I20" s="717" t="e">
        <f ca="1">VLOOKUP($A20,'Summary (P)'!$A$16:$E$35,5,0)</f>
        <v>#N/A</v>
      </c>
      <c r="J20" s="718" t="e">
        <f ca="1">VLOOKUP($A20,'Summary (P)'!$A$16:$K$35,11,0)+$C$19+$R$15</f>
        <v>#N/A</v>
      </c>
      <c r="K20" s="718">
        <f>MAX(1,'Attack Rolls'!C20+$F$1)</f>
        <v>1</v>
      </c>
      <c r="L20" s="719" t="e">
        <f ca="1">RIGHT(VLOOKUP($A20,'Summary (P)'!$A$16:$E$35,5,0),2)</f>
        <v>#N/A</v>
      </c>
      <c r="M20" s="720">
        <v>0.15</v>
      </c>
      <c r="N20" s="720">
        <v>0.05</v>
      </c>
    </row>
    <row r="21" spans="1:23" x14ac:dyDescent="0.2">
      <c r="A21" s="724" t="s">
        <v>58</v>
      </c>
      <c r="B21" s="712" t="e">
        <f ca="1">VLOOKUP($A21,'Summary (P)'!$A$16:$K$35,10,0)</f>
        <v>#N/A</v>
      </c>
      <c r="C21" s="713"/>
      <c r="D21" s="713"/>
      <c r="E21" s="714" t="str">
        <f t="shared" ref="E21:E22" si="6">IF(C21="","",$J21-$K21)</f>
        <v/>
      </c>
      <c r="F21" s="715" t="str">
        <f t="shared" ref="F21:F22" si="7">IF(D21="","",D21+L21+$F$19+$T$15)</f>
        <v/>
      </c>
      <c r="G21" s="716" t="str">
        <f t="shared" ref="G21:G22" si="8">IF(C21="","",MAX(0,$J21-TRUNC($K21/$M21,0)))</f>
        <v/>
      </c>
      <c r="H21" s="716" t="str">
        <f t="shared" ref="H21:H22" si="9">IF(C21="","",MAX(0,$J21-($K21/$N21)))</f>
        <v/>
      </c>
      <c r="I21" s="717" t="e">
        <f ca="1">VLOOKUP($A21,'Summary (P)'!$A$16:$E$35,5,0)</f>
        <v>#N/A</v>
      </c>
      <c r="J21" s="718" t="e">
        <f ca="1">VLOOKUP($A21,'Summary (P)'!$A$16:$K$35,11,0)+$C$19+$R$15</f>
        <v>#N/A</v>
      </c>
      <c r="K21" s="718">
        <f>MAX(1,'Attack Rolls'!C21+$F$1)</f>
        <v>1</v>
      </c>
      <c r="L21" s="719" t="e">
        <f ca="1">RIGHT(VLOOKUP($A21,'Summary (P)'!$A$16:$E$35,5,0),2)</f>
        <v>#N/A</v>
      </c>
      <c r="M21" s="720">
        <v>0.15</v>
      </c>
      <c r="N21" s="720">
        <v>0.05</v>
      </c>
    </row>
    <row r="22" spans="1:23" x14ac:dyDescent="0.2">
      <c r="A22" s="724" t="s">
        <v>40</v>
      </c>
      <c r="B22" s="712" t="e">
        <f ca="1">VLOOKUP($A22,'Summary (P)'!$A$16:$K$35,10,0)</f>
        <v>#N/A</v>
      </c>
      <c r="C22" s="713"/>
      <c r="D22" s="713"/>
      <c r="E22" s="714" t="str">
        <f t="shared" si="6"/>
        <v/>
      </c>
      <c r="F22" s="715" t="str">
        <f t="shared" si="7"/>
        <v/>
      </c>
      <c r="G22" s="716" t="str">
        <f t="shared" si="8"/>
        <v/>
      </c>
      <c r="H22" s="716" t="str">
        <f t="shared" si="9"/>
        <v/>
      </c>
      <c r="I22" s="717" t="e">
        <f ca="1">VLOOKUP($A22,'Summary (P)'!$A$16:$E$35,5,0)</f>
        <v>#N/A</v>
      </c>
      <c r="J22" s="718" t="e">
        <f ca="1">VLOOKUP($A22,'Summary (P)'!$A$16:$K$35,11,0)+$C$19+$R$15</f>
        <v>#N/A</v>
      </c>
      <c r="K22" s="718">
        <f>MAX(1,'Attack Rolls'!C22+$F$1)</f>
        <v>1</v>
      </c>
      <c r="L22" s="719" t="e">
        <f ca="1">RIGHT(VLOOKUP($A22,'Summary (P)'!$A$16:$E$35,5,0),2)</f>
        <v>#N/A</v>
      </c>
      <c r="M22" s="720">
        <v>0.15</v>
      </c>
      <c r="N22" s="720">
        <v>0.05</v>
      </c>
    </row>
    <row r="24" spans="1:23" x14ac:dyDescent="0.2">
      <c r="A24" s="727" t="s">
        <v>1179</v>
      </c>
      <c r="B24" s="728"/>
      <c r="C24" s="728" t="s">
        <v>1945</v>
      </c>
      <c r="D24" s="728" t="s">
        <v>1946</v>
      </c>
      <c r="E24" s="728" t="s">
        <v>1947</v>
      </c>
      <c r="F24" s="728" t="s">
        <v>1948</v>
      </c>
      <c r="G24" s="728" t="s">
        <v>1949</v>
      </c>
      <c r="H24" s="729" t="s">
        <v>1950</v>
      </c>
      <c r="K24" s="745" t="s">
        <v>1957</v>
      </c>
      <c r="L24" s="746" t="s">
        <v>1958</v>
      </c>
      <c r="M24" s="746"/>
      <c r="N24" s="746"/>
      <c r="O24" s="746"/>
      <c r="P24" s="746"/>
      <c r="Q24" s="746"/>
      <c r="R24" s="746"/>
      <c r="S24" s="746"/>
      <c r="T24" s="746"/>
      <c r="U24" s="746"/>
      <c r="V24" s="746"/>
      <c r="W24" s="746"/>
    </row>
    <row r="25" spans="1:23" x14ac:dyDescent="0.2">
      <c r="A25" s="730" t="s">
        <v>1951</v>
      </c>
      <c r="C25" s="731">
        <f>SUM(C26:C40)</f>
        <v>0</v>
      </c>
      <c r="D25" s="731">
        <f t="shared" ref="D25:H25" si="10">SUM(D26:D40)</f>
        <v>0</v>
      </c>
      <c r="E25" s="731">
        <f t="shared" si="10"/>
        <v>0</v>
      </c>
      <c r="F25" s="731">
        <f t="shared" si="10"/>
        <v>0</v>
      </c>
      <c r="G25" s="731">
        <f t="shared" si="10"/>
        <v>0</v>
      </c>
      <c r="H25" s="732">
        <f t="shared" si="10"/>
        <v>0</v>
      </c>
      <c r="I25" s="733" t="str">
        <f>'Summary (P)'!P3</f>
        <v/>
      </c>
      <c r="K25" s="747"/>
      <c r="L25" s="746" t="s">
        <v>1959</v>
      </c>
      <c r="M25" s="746"/>
      <c r="N25" s="746"/>
      <c r="O25" s="746"/>
      <c r="P25" s="746"/>
      <c r="Q25" s="746"/>
      <c r="R25" s="746"/>
      <c r="S25" s="746"/>
      <c r="T25" s="746"/>
      <c r="U25" s="746"/>
      <c r="V25" s="746"/>
      <c r="W25" s="746"/>
    </row>
    <row r="26" spans="1:23" x14ac:dyDescent="0.2">
      <c r="A26" s="734" t="s">
        <v>1952</v>
      </c>
      <c r="C26" s="735">
        <v>0</v>
      </c>
      <c r="D26" s="706"/>
      <c r="E26" s="706"/>
      <c r="F26" s="706"/>
      <c r="G26" s="706"/>
      <c r="H26" s="736"/>
      <c r="K26" s="747"/>
      <c r="L26" s="746" t="s">
        <v>1961</v>
      </c>
      <c r="M26" s="746"/>
      <c r="N26" s="746"/>
      <c r="O26" s="746"/>
      <c r="P26" s="746"/>
      <c r="Q26" s="746"/>
      <c r="R26" s="746"/>
      <c r="S26" s="746"/>
      <c r="T26" s="746"/>
      <c r="U26" s="746"/>
      <c r="V26" s="746"/>
      <c r="W26" s="746"/>
    </row>
    <row r="27" spans="1:23" x14ac:dyDescent="0.2">
      <c r="A27" s="734" t="s">
        <v>1953</v>
      </c>
      <c r="B27" s="737"/>
      <c r="C27" s="735">
        <f>B27*-20</f>
        <v>0</v>
      </c>
      <c r="D27" s="735"/>
      <c r="E27" s="735">
        <f>B27*10</f>
        <v>0</v>
      </c>
      <c r="F27" s="706"/>
      <c r="G27" s="706"/>
      <c r="H27" s="736"/>
      <c r="K27" s="747"/>
      <c r="L27" s="746" t="s">
        <v>1960</v>
      </c>
      <c r="M27" s="746"/>
      <c r="N27" s="746"/>
      <c r="O27" s="746"/>
      <c r="P27" s="746"/>
      <c r="Q27" s="746"/>
      <c r="R27" s="746"/>
      <c r="S27" s="746"/>
      <c r="T27" s="746"/>
      <c r="U27" s="746"/>
      <c r="V27" s="746"/>
      <c r="W27" s="746"/>
    </row>
    <row r="28" spans="1:23" x14ac:dyDescent="0.2">
      <c r="A28" s="734" t="s">
        <v>1955</v>
      </c>
      <c r="B28" s="737"/>
      <c r="C28" s="706"/>
      <c r="D28" s="735">
        <v>0</v>
      </c>
      <c r="E28" s="735">
        <v>0</v>
      </c>
      <c r="F28" s="706"/>
      <c r="G28" s="706"/>
      <c r="H28" s="736"/>
    </row>
    <row r="29" spans="1:23" x14ac:dyDescent="0.2">
      <c r="A29" s="734" t="s">
        <v>1956</v>
      </c>
      <c r="B29" s="737"/>
      <c r="C29" s="706"/>
      <c r="D29" s="706"/>
      <c r="E29" s="735">
        <f>B29*-1</f>
        <v>0</v>
      </c>
      <c r="F29" s="706"/>
      <c r="G29" s="706"/>
      <c r="H29" s="736"/>
    </row>
    <row r="30" spans="1:23" x14ac:dyDescent="0.2">
      <c r="A30" s="734" t="s">
        <v>1954</v>
      </c>
      <c r="C30" s="706"/>
      <c r="D30" s="735">
        <v>0</v>
      </c>
      <c r="E30" s="735">
        <v>0</v>
      </c>
      <c r="F30" s="735">
        <v>0</v>
      </c>
      <c r="G30" s="735">
        <v>0</v>
      </c>
      <c r="H30" s="738">
        <v>0</v>
      </c>
    </row>
    <row r="31" spans="1:23" x14ac:dyDescent="0.2">
      <c r="A31" s="734"/>
      <c r="C31" s="706"/>
      <c r="D31" s="735"/>
      <c r="E31" s="735"/>
      <c r="F31" s="735"/>
      <c r="G31" s="735"/>
      <c r="H31" s="738"/>
    </row>
    <row r="32" spans="1:23" x14ac:dyDescent="0.2">
      <c r="A32" s="734"/>
      <c r="C32" s="706"/>
      <c r="D32" s="735"/>
      <c r="E32" s="735"/>
      <c r="F32" s="735"/>
      <c r="G32" s="735"/>
      <c r="H32" s="738"/>
    </row>
    <row r="33" spans="1:8" x14ac:dyDescent="0.2">
      <c r="A33" s="734"/>
      <c r="C33" s="706"/>
      <c r="D33" s="735"/>
      <c r="E33" s="735"/>
      <c r="F33" s="735"/>
      <c r="G33" s="735"/>
      <c r="H33" s="738"/>
    </row>
    <row r="34" spans="1:8" x14ac:dyDescent="0.2">
      <c r="A34" s="734"/>
      <c r="C34" s="706"/>
      <c r="D34" s="735"/>
      <c r="E34" s="735"/>
      <c r="F34" s="735"/>
      <c r="G34" s="735"/>
      <c r="H34" s="738"/>
    </row>
    <row r="35" spans="1:8" x14ac:dyDescent="0.2">
      <c r="A35" s="734"/>
      <c r="C35" s="706"/>
      <c r="D35" s="735"/>
      <c r="E35" s="735"/>
      <c r="F35" s="735"/>
      <c r="G35" s="735"/>
      <c r="H35" s="738"/>
    </row>
    <row r="36" spans="1:8" x14ac:dyDescent="0.2">
      <c r="A36" s="734"/>
      <c r="C36" s="706"/>
      <c r="D36" s="735"/>
      <c r="E36" s="735"/>
      <c r="F36" s="735"/>
      <c r="G36" s="735"/>
      <c r="H36" s="738"/>
    </row>
    <row r="37" spans="1:8" x14ac:dyDescent="0.2">
      <c r="A37" s="734"/>
      <c r="C37" s="706"/>
      <c r="D37" s="735"/>
      <c r="E37" s="735"/>
      <c r="F37" s="735"/>
      <c r="G37" s="735"/>
      <c r="H37" s="738"/>
    </row>
    <row r="38" spans="1:8" x14ac:dyDescent="0.2">
      <c r="A38" s="734"/>
      <c r="C38" s="706"/>
      <c r="D38" s="735"/>
      <c r="E38" s="735"/>
      <c r="F38" s="735"/>
      <c r="G38" s="735"/>
      <c r="H38" s="738"/>
    </row>
    <row r="39" spans="1:8" x14ac:dyDescent="0.2">
      <c r="A39" s="734"/>
      <c r="C39" s="706"/>
      <c r="D39" s="735"/>
      <c r="E39" s="735"/>
      <c r="F39" s="735"/>
      <c r="G39" s="735"/>
      <c r="H39" s="738"/>
    </row>
    <row r="40" spans="1:8" x14ac:dyDescent="0.2">
      <c r="A40" s="739"/>
      <c r="B40" s="740"/>
      <c r="C40" s="741"/>
      <c r="D40" s="742"/>
      <c r="E40" s="742"/>
      <c r="F40" s="742"/>
      <c r="G40" s="742"/>
      <c r="H40" s="743"/>
    </row>
    <row r="41" spans="1:8" x14ac:dyDescent="0.2">
      <c r="A41" s="709"/>
    </row>
    <row r="42" spans="1:8" x14ac:dyDescent="0.2">
      <c r="A42" s="709"/>
    </row>
  </sheetData>
  <dataValidations count="1">
    <dataValidation type="list" allowBlank="1" showInputMessage="1" showErrorMessage="1" sqref="A2" xr:uid="{A2219457-F439-4A5F-B64B-4D1A2879F22B}">
      <formula1>$Q$3:$Q$8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7"/>
  <sheetViews>
    <sheetView workbookViewId="0">
      <selection activeCell="Q6" sqref="Q6"/>
    </sheetView>
  </sheetViews>
  <sheetFormatPr defaultColWidth="9.140625" defaultRowHeight="12" x14ac:dyDescent="0.2"/>
  <cols>
    <col min="1" max="2" width="3.5703125" style="357" customWidth="1"/>
    <col min="3" max="3" width="4.28515625" style="358" customWidth="1"/>
    <col min="4" max="4" width="4" style="359" customWidth="1"/>
    <col min="5" max="6" width="4.28515625" style="317" customWidth="1"/>
    <col min="7" max="7" width="5.28515625" style="317" hidden="1" customWidth="1"/>
    <col min="8" max="8" width="5" style="317" hidden="1" customWidth="1"/>
    <col min="9" max="9" width="5.28515625" style="317" hidden="1" customWidth="1"/>
    <col min="10" max="10" width="0" style="317" hidden="1" customWidth="1"/>
    <col min="11" max="11" width="5.42578125" style="317" customWidth="1"/>
    <col min="12" max="12" width="4.42578125" style="317" customWidth="1"/>
    <col min="13" max="13" width="0" style="317" hidden="1" customWidth="1"/>
    <col min="14" max="14" width="4.7109375" style="317" customWidth="1"/>
    <col min="15" max="15" width="4.42578125" style="317" customWidth="1"/>
    <col min="16" max="16" width="9" style="317" bestFit="1" customWidth="1"/>
    <col min="17" max="17" width="9.140625" style="317"/>
    <col min="18" max="18" width="5.85546875" style="317" bestFit="1" customWidth="1"/>
    <col min="19" max="19" width="37.42578125" style="317" bestFit="1" customWidth="1"/>
    <col min="20" max="20" width="79.5703125" style="317" bestFit="1" customWidth="1"/>
    <col min="21" max="21" width="23.5703125" style="317" bestFit="1" customWidth="1"/>
    <col min="22" max="16384" width="9.140625" style="317"/>
  </cols>
  <sheetData>
    <row r="1" spans="1:21" s="320" customFormat="1" ht="22.5" customHeight="1" x14ac:dyDescent="0.25">
      <c r="A1" s="805" t="s">
        <v>236</v>
      </c>
      <c r="B1" s="805"/>
      <c r="C1" s="312" t="s">
        <v>1200</v>
      </c>
      <c r="D1" s="313" t="s">
        <v>1201</v>
      </c>
      <c r="E1" s="314" t="s">
        <v>1202</v>
      </c>
      <c r="F1" s="313" t="s">
        <v>1203</v>
      </c>
      <c r="G1" s="314" t="s">
        <v>1204</v>
      </c>
      <c r="H1" s="315" t="s">
        <v>1205</v>
      </c>
      <c r="I1" s="313" t="s">
        <v>1206</v>
      </c>
      <c r="J1" s="316" t="s">
        <v>1207</v>
      </c>
      <c r="K1" s="317"/>
      <c r="L1" s="318" t="s">
        <v>1208</v>
      </c>
      <c r="M1" s="319"/>
      <c r="N1" s="319"/>
      <c r="O1" s="806" t="s">
        <v>1209</v>
      </c>
      <c r="P1" s="807" t="s">
        <v>1210</v>
      </c>
      <c r="R1" s="397" t="s">
        <v>1272</v>
      </c>
      <c r="S1" s="398" t="s">
        <v>293</v>
      </c>
      <c r="T1" s="398" t="s">
        <v>1273</v>
      </c>
      <c r="U1" s="399" t="s">
        <v>1274</v>
      </c>
    </row>
    <row r="2" spans="1:21" ht="12.75" x14ac:dyDescent="0.2">
      <c r="A2" s="321">
        <v>1</v>
      </c>
      <c r="B2" s="322">
        <v>9</v>
      </c>
      <c r="C2" s="323">
        <f>ROUND($B2*0.15,0)</f>
        <v>1</v>
      </c>
      <c r="D2" s="324">
        <f>ROUND($B2*0.05,0)</f>
        <v>0</v>
      </c>
      <c r="E2" s="325">
        <f t="shared" ref="E2:E41" si="0">ROUND($B2*0.2,0)</f>
        <v>2</v>
      </c>
      <c r="F2" s="326">
        <f t="shared" ref="F2:F41" si="1">ROUND($B2*0.1,0)</f>
        <v>1</v>
      </c>
      <c r="G2" s="325">
        <f t="shared" ref="G2:G41" si="2">ROUND($B2*(5+TRUNC($J$2/3,0))/100,0)</f>
        <v>0</v>
      </c>
      <c r="H2" s="327">
        <f t="shared" ref="H2:H41" si="3">ROUND($B2*(5+$J$2)/100,0)</f>
        <v>0</v>
      </c>
      <c r="I2" s="326">
        <f t="shared" ref="I2:I41" si="4">ROUND($B2*(5+$J$2*2)/100,0)</f>
        <v>0</v>
      </c>
      <c r="J2" s="328">
        <f>SUMIF(Skills!$A$1:$A$86,"Assassin",Skills!$B$1:$B$86)</f>
        <v>0</v>
      </c>
      <c r="L2" s="329" t="s">
        <v>1211</v>
      </c>
      <c r="M2" s="330" t="s">
        <v>1212</v>
      </c>
      <c r="N2" s="330" t="s">
        <v>1213</v>
      </c>
      <c r="O2" s="806"/>
      <c r="P2" s="807"/>
      <c r="R2" s="400" t="s">
        <v>1275</v>
      </c>
      <c r="S2" s="396" t="s">
        <v>1276</v>
      </c>
      <c r="T2" s="401" t="s">
        <v>1277</v>
      </c>
      <c r="U2" s="268" t="s">
        <v>1278</v>
      </c>
    </row>
    <row r="3" spans="1:21" ht="12.75" x14ac:dyDescent="0.2">
      <c r="A3" s="321">
        <f t="shared" ref="A3:A41" si="5">B2+1</f>
        <v>10</v>
      </c>
      <c r="B3" s="322">
        <v>16</v>
      </c>
      <c r="C3" s="323">
        <f t="shared" ref="C3:C41" si="6">ROUND(B3*0.15,0)</f>
        <v>2</v>
      </c>
      <c r="D3" s="324">
        <f t="shared" ref="D3:D41" si="7">ROUND(B3*0.05,0)</f>
        <v>1</v>
      </c>
      <c r="E3" s="325">
        <f t="shared" si="0"/>
        <v>3</v>
      </c>
      <c r="F3" s="326">
        <f t="shared" si="1"/>
        <v>2</v>
      </c>
      <c r="G3" s="325">
        <f t="shared" si="2"/>
        <v>1</v>
      </c>
      <c r="H3" s="327">
        <f t="shared" si="3"/>
        <v>1</v>
      </c>
      <c r="I3" s="326">
        <f t="shared" si="4"/>
        <v>1</v>
      </c>
      <c r="L3" s="325">
        <v>5</v>
      </c>
      <c r="M3" s="327">
        <f t="shared" ref="M3:M47" si="8">ROUND(N3/3,0)</f>
        <v>8</v>
      </c>
      <c r="N3" s="327">
        <v>25</v>
      </c>
      <c r="O3" s="327">
        <v>0</v>
      </c>
      <c r="P3" s="326"/>
      <c r="R3" s="400" t="s">
        <v>1279</v>
      </c>
      <c r="S3" s="396" t="s">
        <v>1280</v>
      </c>
      <c r="T3" s="402" t="s">
        <v>1281</v>
      </c>
      <c r="U3" s="268" t="s">
        <v>1282</v>
      </c>
    </row>
    <row r="4" spans="1:21" ht="12.75" x14ac:dyDescent="0.2">
      <c r="A4" s="321">
        <f t="shared" si="5"/>
        <v>17</v>
      </c>
      <c r="B4" s="322">
        <v>23</v>
      </c>
      <c r="C4" s="323">
        <f t="shared" si="6"/>
        <v>3</v>
      </c>
      <c r="D4" s="324">
        <f t="shared" si="7"/>
        <v>1</v>
      </c>
      <c r="E4" s="325">
        <f t="shared" si="0"/>
        <v>5</v>
      </c>
      <c r="F4" s="326">
        <f t="shared" si="1"/>
        <v>2</v>
      </c>
      <c r="G4" s="325">
        <f t="shared" si="2"/>
        <v>1</v>
      </c>
      <c r="H4" s="327">
        <f t="shared" si="3"/>
        <v>1</v>
      </c>
      <c r="I4" s="326">
        <f t="shared" si="4"/>
        <v>1</v>
      </c>
      <c r="L4" s="325">
        <f t="shared" ref="L4:L47" si="9">L3+5</f>
        <v>10</v>
      </c>
      <c r="M4" s="327">
        <f t="shared" si="8"/>
        <v>17</v>
      </c>
      <c r="N4" s="327">
        <f t="shared" ref="N4:N47" si="10">N3+25</f>
        <v>50</v>
      </c>
      <c r="O4" s="327">
        <f t="shared" ref="O4:O47" si="11">O3-3</f>
        <v>-3</v>
      </c>
      <c r="P4" s="331"/>
      <c r="R4" s="400" t="s">
        <v>1283</v>
      </c>
      <c r="S4" s="396" t="s">
        <v>1284</v>
      </c>
      <c r="T4" s="401" t="s">
        <v>1285</v>
      </c>
      <c r="U4" s="268"/>
    </row>
    <row r="5" spans="1:21" ht="12.75" x14ac:dyDescent="0.2">
      <c r="A5" s="332">
        <f t="shared" si="5"/>
        <v>24</v>
      </c>
      <c r="B5" s="333">
        <v>29</v>
      </c>
      <c r="C5" s="334">
        <f t="shared" si="6"/>
        <v>4</v>
      </c>
      <c r="D5" s="335">
        <f t="shared" si="7"/>
        <v>1</v>
      </c>
      <c r="E5" s="336">
        <f t="shared" si="0"/>
        <v>6</v>
      </c>
      <c r="F5" s="337">
        <f t="shared" si="1"/>
        <v>3</v>
      </c>
      <c r="G5" s="336">
        <f t="shared" si="2"/>
        <v>1</v>
      </c>
      <c r="H5" s="338">
        <f t="shared" si="3"/>
        <v>1</v>
      </c>
      <c r="I5" s="337">
        <f t="shared" si="4"/>
        <v>1</v>
      </c>
      <c r="L5" s="325">
        <f t="shared" si="9"/>
        <v>15</v>
      </c>
      <c r="M5" s="327">
        <f t="shared" si="8"/>
        <v>25</v>
      </c>
      <c r="N5" s="327">
        <f t="shared" si="10"/>
        <v>75</v>
      </c>
      <c r="O5" s="327">
        <f t="shared" si="11"/>
        <v>-6</v>
      </c>
      <c r="P5" s="331" t="s">
        <v>1214</v>
      </c>
      <c r="R5" s="400" t="s">
        <v>1286</v>
      </c>
      <c r="S5" s="396" t="s">
        <v>1287</v>
      </c>
      <c r="T5" s="401" t="s">
        <v>1288</v>
      </c>
      <c r="U5" s="268"/>
    </row>
    <row r="6" spans="1:21" ht="12.75" x14ac:dyDescent="0.2">
      <c r="A6" s="332">
        <f t="shared" si="5"/>
        <v>30</v>
      </c>
      <c r="B6" s="333">
        <v>36</v>
      </c>
      <c r="C6" s="334">
        <f t="shared" si="6"/>
        <v>5</v>
      </c>
      <c r="D6" s="335">
        <f t="shared" si="7"/>
        <v>2</v>
      </c>
      <c r="E6" s="336">
        <f t="shared" si="0"/>
        <v>7</v>
      </c>
      <c r="F6" s="337">
        <f t="shared" si="1"/>
        <v>4</v>
      </c>
      <c r="G6" s="336">
        <f t="shared" si="2"/>
        <v>2</v>
      </c>
      <c r="H6" s="338">
        <f t="shared" si="3"/>
        <v>2</v>
      </c>
      <c r="I6" s="337">
        <f t="shared" si="4"/>
        <v>2</v>
      </c>
      <c r="L6" s="339">
        <f t="shared" si="9"/>
        <v>20</v>
      </c>
      <c r="M6" s="340">
        <f t="shared" si="8"/>
        <v>33</v>
      </c>
      <c r="N6" s="340">
        <f t="shared" si="10"/>
        <v>100</v>
      </c>
      <c r="O6" s="340">
        <f t="shared" si="11"/>
        <v>-9</v>
      </c>
      <c r="P6" s="331"/>
      <c r="R6" s="400" t="s">
        <v>1289</v>
      </c>
      <c r="S6" s="396" t="s">
        <v>1290</v>
      </c>
      <c r="T6" s="8" t="s">
        <v>1291</v>
      </c>
      <c r="U6" s="268"/>
    </row>
    <row r="7" spans="1:21" ht="12.75" x14ac:dyDescent="0.2">
      <c r="A7" s="332">
        <f t="shared" si="5"/>
        <v>37</v>
      </c>
      <c r="B7" s="333">
        <v>43</v>
      </c>
      <c r="C7" s="334">
        <f t="shared" si="6"/>
        <v>6</v>
      </c>
      <c r="D7" s="335">
        <f t="shared" si="7"/>
        <v>2</v>
      </c>
      <c r="E7" s="336">
        <f t="shared" si="0"/>
        <v>9</v>
      </c>
      <c r="F7" s="337">
        <f t="shared" si="1"/>
        <v>4</v>
      </c>
      <c r="G7" s="336">
        <f t="shared" si="2"/>
        <v>2</v>
      </c>
      <c r="H7" s="338">
        <f t="shared" si="3"/>
        <v>2</v>
      </c>
      <c r="I7" s="337">
        <f t="shared" si="4"/>
        <v>2</v>
      </c>
      <c r="L7" s="325">
        <f t="shared" si="9"/>
        <v>25</v>
      </c>
      <c r="M7" s="327">
        <f t="shared" si="8"/>
        <v>42</v>
      </c>
      <c r="N7" s="327">
        <f t="shared" si="10"/>
        <v>125</v>
      </c>
      <c r="O7" s="327">
        <f t="shared" si="11"/>
        <v>-12</v>
      </c>
      <c r="P7" s="331"/>
      <c r="R7" s="400" t="s">
        <v>1292</v>
      </c>
      <c r="S7" s="396" t="s">
        <v>1293</v>
      </c>
      <c r="T7" s="401" t="s">
        <v>1294</v>
      </c>
      <c r="U7" s="268"/>
    </row>
    <row r="8" spans="1:21" ht="12.75" x14ac:dyDescent="0.2">
      <c r="A8" s="321">
        <f t="shared" si="5"/>
        <v>44</v>
      </c>
      <c r="B8" s="322">
        <v>49</v>
      </c>
      <c r="C8" s="323">
        <f t="shared" si="6"/>
        <v>7</v>
      </c>
      <c r="D8" s="324">
        <f t="shared" si="7"/>
        <v>2</v>
      </c>
      <c r="E8" s="325">
        <f t="shared" si="0"/>
        <v>10</v>
      </c>
      <c r="F8" s="326">
        <f t="shared" si="1"/>
        <v>5</v>
      </c>
      <c r="G8" s="325">
        <f t="shared" si="2"/>
        <v>2</v>
      </c>
      <c r="H8" s="327">
        <f t="shared" si="3"/>
        <v>2</v>
      </c>
      <c r="I8" s="326">
        <f t="shared" si="4"/>
        <v>2</v>
      </c>
      <c r="L8" s="325">
        <f t="shared" si="9"/>
        <v>30</v>
      </c>
      <c r="M8" s="327">
        <f t="shared" si="8"/>
        <v>50</v>
      </c>
      <c r="N8" s="327">
        <f t="shared" si="10"/>
        <v>150</v>
      </c>
      <c r="O8" s="327">
        <f t="shared" si="11"/>
        <v>-15</v>
      </c>
      <c r="P8" s="410" t="s">
        <v>62</v>
      </c>
      <c r="R8" s="400" t="s">
        <v>1295</v>
      </c>
      <c r="S8" s="396" t="s">
        <v>1296</v>
      </c>
      <c r="T8" s="5" t="s">
        <v>1297</v>
      </c>
      <c r="U8" s="268"/>
    </row>
    <row r="9" spans="1:21" ht="12.75" x14ac:dyDescent="0.2">
      <c r="A9" s="321">
        <f t="shared" si="5"/>
        <v>50</v>
      </c>
      <c r="B9" s="322">
        <v>56</v>
      </c>
      <c r="C9" s="323">
        <f t="shared" si="6"/>
        <v>8</v>
      </c>
      <c r="D9" s="324">
        <f t="shared" si="7"/>
        <v>3</v>
      </c>
      <c r="E9" s="325">
        <f t="shared" si="0"/>
        <v>11</v>
      </c>
      <c r="F9" s="326">
        <f t="shared" si="1"/>
        <v>6</v>
      </c>
      <c r="G9" s="325">
        <f t="shared" si="2"/>
        <v>3</v>
      </c>
      <c r="H9" s="327">
        <f t="shared" si="3"/>
        <v>3</v>
      </c>
      <c r="I9" s="326">
        <f t="shared" si="4"/>
        <v>3</v>
      </c>
      <c r="L9" s="325">
        <f t="shared" si="9"/>
        <v>35</v>
      </c>
      <c r="M9" s="327">
        <f t="shared" si="8"/>
        <v>58</v>
      </c>
      <c r="N9" s="327">
        <f t="shared" si="10"/>
        <v>175</v>
      </c>
      <c r="O9" s="327">
        <f t="shared" si="11"/>
        <v>-18</v>
      </c>
      <c r="P9" s="331"/>
      <c r="R9" s="400" t="s">
        <v>1298</v>
      </c>
      <c r="S9" s="396" t="s">
        <v>1299</v>
      </c>
      <c r="T9" s="401" t="s">
        <v>1300</v>
      </c>
      <c r="U9" s="268" t="s">
        <v>1301</v>
      </c>
    </row>
    <row r="10" spans="1:21" ht="12.75" x14ac:dyDescent="0.2">
      <c r="A10" s="321">
        <f t="shared" si="5"/>
        <v>57</v>
      </c>
      <c r="B10" s="322">
        <v>63</v>
      </c>
      <c r="C10" s="323">
        <f t="shared" si="6"/>
        <v>9</v>
      </c>
      <c r="D10" s="324">
        <f t="shared" si="7"/>
        <v>3</v>
      </c>
      <c r="E10" s="325">
        <f t="shared" si="0"/>
        <v>13</v>
      </c>
      <c r="F10" s="326">
        <f t="shared" si="1"/>
        <v>6</v>
      </c>
      <c r="G10" s="325">
        <f t="shared" si="2"/>
        <v>3</v>
      </c>
      <c r="H10" s="327">
        <f t="shared" si="3"/>
        <v>3</v>
      </c>
      <c r="I10" s="326">
        <f t="shared" si="4"/>
        <v>3</v>
      </c>
      <c r="L10" s="339">
        <f t="shared" si="9"/>
        <v>40</v>
      </c>
      <c r="M10" s="340">
        <f t="shared" si="8"/>
        <v>67</v>
      </c>
      <c r="N10" s="340">
        <f t="shared" si="10"/>
        <v>200</v>
      </c>
      <c r="O10" s="340">
        <f t="shared" si="11"/>
        <v>-21</v>
      </c>
      <c r="P10" s="331"/>
      <c r="R10" s="400" t="s">
        <v>1302</v>
      </c>
      <c r="S10" s="396" t="s">
        <v>1303</v>
      </c>
      <c r="T10" s="401" t="s">
        <v>1304</v>
      </c>
      <c r="U10" s="268"/>
    </row>
    <row r="11" spans="1:21" ht="12.75" x14ac:dyDescent="0.2">
      <c r="A11" s="332">
        <f t="shared" si="5"/>
        <v>64</v>
      </c>
      <c r="B11" s="333">
        <v>69</v>
      </c>
      <c r="C11" s="334">
        <f t="shared" si="6"/>
        <v>10</v>
      </c>
      <c r="D11" s="335">
        <f t="shared" si="7"/>
        <v>3</v>
      </c>
      <c r="E11" s="336">
        <f t="shared" si="0"/>
        <v>14</v>
      </c>
      <c r="F11" s="337">
        <f t="shared" si="1"/>
        <v>7</v>
      </c>
      <c r="G11" s="336">
        <f t="shared" si="2"/>
        <v>3</v>
      </c>
      <c r="H11" s="338">
        <f t="shared" si="3"/>
        <v>3</v>
      </c>
      <c r="I11" s="337">
        <f t="shared" si="4"/>
        <v>3</v>
      </c>
      <c r="L11" s="325">
        <f t="shared" si="9"/>
        <v>45</v>
      </c>
      <c r="M11" s="327">
        <f t="shared" si="8"/>
        <v>75</v>
      </c>
      <c r="N11" s="327">
        <f t="shared" si="10"/>
        <v>225</v>
      </c>
      <c r="O11" s="327">
        <f t="shared" si="11"/>
        <v>-24</v>
      </c>
      <c r="P11" s="410" t="s">
        <v>33</v>
      </c>
      <c r="R11" s="403" t="s">
        <v>1305</v>
      </c>
      <c r="S11" s="396" t="s">
        <v>1306</v>
      </c>
      <c r="T11" s="401" t="s">
        <v>1307</v>
      </c>
      <c r="U11" s="268"/>
    </row>
    <row r="12" spans="1:21" ht="12.75" x14ac:dyDescent="0.2">
      <c r="A12" s="332">
        <f t="shared" si="5"/>
        <v>70</v>
      </c>
      <c r="B12" s="333">
        <v>76</v>
      </c>
      <c r="C12" s="334">
        <f t="shared" si="6"/>
        <v>11</v>
      </c>
      <c r="D12" s="335">
        <f t="shared" si="7"/>
        <v>4</v>
      </c>
      <c r="E12" s="336">
        <f t="shared" si="0"/>
        <v>15</v>
      </c>
      <c r="F12" s="337">
        <f t="shared" si="1"/>
        <v>8</v>
      </c>
      <c r="G12" s="336">
        <f t="shared" si="2"/>
        <v>4</v>
      </c>
      <c r="H12" s="338">
        <f t="shared" si="3"/>
        <v>4</v>
      </c>
      <c r="I12" s="337">
        <f t="shared" si="4"/>
        <v>4</v>
      </c>
      <c r="L12" s="325">
        <f t="shared" si="9"/>
        <v>50</v>
      </c>
      <c r="M12" s="327">
        <f t="shared" si="8"/>
        <v>83</v>
      </c>
      <c r="N12" s="327">
        <f t="shared" si="10"/>
        <v>250</v>
      </c>
      <c r="O12" s="327">
        <f t="shared" si="11"/>
        <v>-27</v>
      </c>
      <c r="P12" s="331"/>
      <c r="R12" s="403" t="s">
        <v>1308</v>
      </c>
      <c r="S12" s="396" t="s">
        <v>1309</v>
      </c>
      <c r="T12" s="401" t="s">
        <v>1310</v>
      </c>
      <c r="U12" s="268" t="s">
        <v>1278</v>
      </c>
    </row>
    <row r="13" spans="1:21" ht="12.75" x14ac:dyDescent="0.2">
      <c r="A13" s="332">
        <f t="shared" si="5"/>
        <v>77</v>
      </c>
      <c r="B13" s="333">
        <v>83</v>
      </c>
      <c r="C13" s="334">
        <f t="shared" si="6"/>
        <v>12</v>
      </c>
      <c r="D13" s="335">
        <f t="shared" si="7"/>
        <v>4</v>
      </c>
      <c r="E13" s="336">
        <f t="shared" si="0"/>
        <v>17</v>
      </c>
      <c r="F13" s="337">
        <f t="shared" si="1"/>
        <v>8</v>
      </c>
      <c r="G13" s="336">
        <f t="shared" si="2"/>
        <v>4</v>
      </c>
      <c r="H13" s="338">
        <f t="shared" si="3"/>
        <v>4</v>
      </c>
      <c r="I13" s="337">
        <f t="shared" si="4"/>
        <v>4</v>
      </c>
      <c r="L13" s="325">
        <f t="shared" si="9"/>
        <v>55</v>
      </c>
      <c r="M13" s="327">
        <f t="shared" si="8"/>
        <v>92</v>
      </c>
      <c r="N13" s="327">
        <f t="shared" si="10"/>
        <v>275</v>
      </c>
      <c r="O13" s="327">
        <f t="shared" si="11"/>
        <v>-30</v>
      </c>
      <c r="P13" s="331"/>
      <c r="R13" s="403" t="s">
        <v>1311</v>
      </c>
      <c r="S13" s="396" t="s">
        <v>1312</v>
      </c>
      <c r="T13" s="401" t="s">
        <v>1310</v>
      </c>
      <c r="U13" s="268" t="s">
        <v>1278</v>
      </c>
    </row>
    <row r="14" spans="1:21" ht="12.75" x14ac:dyDescent="0.2">
      <c r="A14" s="321">
        <f t="shared" si="5"/>
        <v>84</v>
      </c>
      <c r="B14" s="322">
        <v>89</v>
      </c>
      <c r="C14" s="323">
        <f t="shared" si="6"/>
        <v>13</v>
      </c>
      <c r="D14" s="324">
        <f t="shared" si="7"/>
        <v>4</v>
      </c>
      <c r="E14" s="325">
        <f t="shared" si="0"/>
        <v>18</v>
      </c>
      <c r="F14" s="326">
        <f t="shared" si="1"/>
        <v>9</v>
      </c>
      <c r="G14" s="325">
        <f t="shared" si="2"/>
        <v>4</v>
      </c>
      <c r="H14" s="327">
        <f t="shared" si="3"/>
        <v>4</v>
      </c>
      <c r="I14" s="326">
        <f t="shared" si="4"/>
        <v>4</v>
      </c>
      <c r="L14" s="339">
        <f t="shared" si="9"/>
        <v>60</v>
      </c>
      <c r="M14" s="340">
        <f t="shared" si="8"/>
        <v>100</v>
      </c>
      <c r="N14" s="340">
        <f t="shared" si="10"/>
        <v>300</v>
      </c>
      <c r="O14" s="340">
        <f t="shared" si="11"/>
        <v>-33</v>
      </c>
      <c r="P14" s="331" t="s">
        <v>1215</v>
      </c>
      <c r="R14" s="403" t="s">
        <v>1313</v>
      </c>
      <c r="S14" s="396" t="s">
        <v>1314</v>
      </c>
      <c r="T14" s="401" t="s">
        <v>1315</v>
      </c>
      <c r="U14" s="268"/>
    </row>
    <row r="15" spans="1:21" ht="12.75" x14ac:dyDescent="0.2">
      <c r="A15" s="321">
        <f t="shared" si="5"/>
        <v>90</v>
      </c>
      <c r="B15" s="322">
        <v>96</v>
      </c>
      <c r="C15" s="323">
        <f t="shared" si="6"/>
        <v>14</v>
      </c>
      <c r="D15" s="324">
        <f t="shared" si="7"/>
        <v>5</v>
      </c>
      <c r="E15" s="325">
        <f t="shared" si="0"/>
        <v>19</v>
      </c>
      <c r="F15" s="326">
        <f t="shared" si="1"/>
        <v>10</v>
      </c>
      <c r="G15" s="325">
        <f t="shared" si="2"/>
        <v>5</v>
      </c>
      <c r="H15" s="327">
        <f t="shared" si="3"/>
        <v>5</v>
      </c>
      <c r="I15" s="326">
        <f t="shared" si="4"/>
        <v>5</v>
      </c>
      <c r="L15" s="325">
        <f t="shared" si="9"/>
        <v>65</v>
      </c>
      <c r="M15" s="327">
        <f t="shared" si="8"/>
        <v>108</v>
      </c>
      <c r="N15" s="327">
        <f t="shared" si="10"/>
        <v>325</v>
      </c>
      <c r="O15" s="327">
        <f t="shared" si="11"/>
        <v>-36</v>
      </c>
      <c r="P15" s="331"/>
      <c r="R15" s="403" t="s">
        <v>1316</v>
      </c>
      <c r="S15" s="396" t="s">
        <v>1317</v>
      </c>
      <c r="T15" s="401" t="s">
        <v>1318</v>
      </c>
      <c r="U15" s="268" t="s">
        <v>1319</v>
      </c>
    </row>
    <row r="16" spans="1:21" ht="12.75" x14ac:dyDescent="0.2">
      <c r="A16" s="321">
        <f t="shared" si="5"/>
        <v>97</v>
      </c>
      <c r="B16" s="322">
        <v>103</v>
      </c>
      <c r="C16" s="323">
        <f t="shared" si="6"/>
        <v>15</v>
      </c>
      <c r="D16" s="324">
        <f t="shared" si="7"/>
        <v>5</v>
      </c>
      <c r="E16" s="325">
        <f t="shared" si="0"/>
        <v>21</v>
      </c>
      <c r="F16" s="326">
        <f t="shared" si="1"/>
        <v>10</v>
      </c>
      <c r="G16" s="325">
        <f t="shared" si="2"/>
        <v>5</v>
      </c>
      <c r="H16" s="327">
        <f t="shared" si="3"/>
        <v>5</v>
      </c>
      <c r="I16" s="326">
        <f t="shared" si="4"/>
        <v>5</v>
      </c>
      <c r="L16" s="325">
        <f t="shared" si="9"/>
        <v>70</v>
      </c>
      <c r="M16" s="327">
        <f t="shared" si="8"/>
        <v>117</v>
      </c>
      <c r="N16" s="327">
        <f t="shared" si="10"/>
        <v>350</v>
      </c>
      <c r="O16" s="327">
        <f t="shared" si="11"/>
        <v>-39</v>
      </c>
      <c r="P16" s="331"/>
      <c r="R16" s="403" t="s">
        <v>1320</v>
      </c>
      <c r="S16" s="396" t="s">
        <v>1321</v>
      </c>
      <c r="T16" s="401" t="s">
        <v>1318</v>
      </c>
      <c r="U16" s="268" t="s">
        <v>1319</v>
      </c>
    </row>
    <row r="17" spans="1:21" ht="12.75" x14ac:dyDescent="0.2">
      <c r="A17" s="332">
        <f t="shared" si="5"/>
        <v>104</v>
      </c>
      <c r="B17" s="333">
        <v>109</v>
      </c>
      <c r="C17" s="334">
        <f t="shared" si="6"/>
        <v>16</v>
      </c>
      <c r="D17" s="335">
        <f t="shared" si="7"/>
        <v>5</v>
      </c>
      <c r="E17" s="336">
        <f t="shared" si="0"/>
        <v>22</v>
      </c>
      <c r="F17" s="337">
        <f t="shared" si="1"/>
        <v>11</v>
      </c>
      <c r="G17" s="336">
        <f t="shared" si="2"/>
        <v>5</v>
      </c>
      <c r="H17" s="338">
        <f t="shared" si="3"/>
        <v>5</v>
      </c>
      <c r="I17" s="337">
        <f t="shared" si="4"/>
        <v>5</v>
      </c>
      <c r="L17" s="325">
        <f t="shared" si="9"/>
        <v>75</v>
      </c>
      <c r="M17" s="327">
        <f t="shared" si="8"/>
        <v>125</v>
      </c>
      <c r="N17" s="327">
        <f t="shared" si="10"/>
        <v>375</v>
      </c>
      <c r="O17" s="327">
        <f t="shared" si="11"/>
        <v>-42</v>
      </c>
      <c r="P17" s="331"/>
      <c r="R17" s="403" t="s">
        <v>1322</v>
      </c>
      <c r="S17" s="396" t="s">
        <v>1323</v>
      </c>
      <c r="T17" s="401" t="s">
        <v>1324</v>
      </c>
      <c r="U17" s="268" t="s">
        <v>1301</v>
      </c>
    </row>
    <row r="18" spans="1:21" ht="12.75" x14ac:dyDescent="0.2">
      <c r="A18" s="332">
        <f t="shared" si="5"/>
        <v>110</v>
      </c>
      <c r="B18" s="333">
        <v>116</v>
      </c>
      <c r="C18" s="334">
        <f t="shared" si="6"/>
        <v>17</v>
      </c>
      <c r="D18" s="335">
        <f t="shared" si="7"/>
        <v>6</v>
      </c>
      <c r="E18" s="336">
        <f t="shared" si="0"/>
        <v>23</v>
      </c>
      <c r="F18" s="337">
        <f t="shared" si="1"/>
        <v>12</v>
      </c>
      <c r="G18" s="336">
        <f t="shared" si="2"/>
        <v>6</v>
      </c>
      <c r="H18" s="338">
        <f t="shared" si="3"/>
        <v>6</v>
      </c>
      <c r="I18" s="337">
        <f t="shared" si="4"/>
        <v>6</v>
      </c>
      <c r="L18" s="339">
        <f t="shared" si="9"/>
        <v>80</v>
      </c>
      <c r="M18" s="340">
        <f t="shared" si="8"/>
        <v>133</v>
      </c>
      <c r="N18" s="340">
        <f t="shared" si="10"/>
        <v>400</v>
      </c>
      <c r="O18" s="340">
        <f t="shared" si="11"/>
        <v>-45</v>
      </c>
      <c r="P18" s="331" t="s">
        <v>1216</v>
      </c>
      <c r="R18" s="403" t="s">
        <v>1325</v>
      </c>
      <c r="S18" s="396" t="s">
        <v>1326</v>
      </c>
      <c r="T18" s="401" t="s">
        <v>1327</v>
      </c>
      <c r="U18" s="268"/>
    </row>
    <row r="19" spans="1:21" ht="12.75" x14ac:dyDescent="0.2">
      <c r="A19" s="332">
        <f t="shared" si="5"/>
        <v>117</v>
      </c>
      <c r="B19" s="333">
        <v>123</v>
      </c>
      <c r="C19" s="334">
        <f t="shared" si="6"/>
        <v>18</v>
      </c>
      <c r="D19" s="335">
        <f t="shared" si="7"/>
        <v>6</v>
      </c>
      <c r="E19" s="336">
        <f t="shared" si="0"/>
        <v>25</v>
      </c>
      <c r="F19" s="337">
        <f t="shared" si="1"/>
        <v>12</v>
      </c>
      <c r="G19" s="336">
        <f t="shared" si="2"/>
        <v>6</v>
      </c>
      <c r="H19" s="338">
        <f t="shared" si="3"/>
        <v>6</v>
      </c>
      <c r="I19" s="337">
        <f t="shared" si="4"/>
        <v>6</v>
      </c>
      <c r="L19" s="325">
        <f t="shared" si="9"/>
        <v>85</v>
      </c>
      <c r="M19" s="327">
        <f t="shared" si="8"/>
        <v>142</v>
      </c>
      <c r="N19" s="327">
        <f t="shared" si="10"/>
        <v>425</v>
      </c>
      <c r="O19" s="327">
        <f t="shared" si="11"/>
        <v>-48</v>
      </c>
      <c r="P19" s="331"/>
      <c r="R19" s="403" t="s">
        <v>1328</v>
      </c>
      <c r="S19" s="396" t="s">
        <v>1329</v>
      </c>
      <c r="T19" s="396" t="s">
        <v>1330</v>
      </c>
      <c r="U19" s="268"/>
    </row>
    <row r="20" spans="1:21" ht="12.75" x14ac:dyDescent="0.2">
      <c r="A20" s="321">
        <f t="shared" si="5"/>
        <v>124</v>
      </c>
      <c r="B20" s="322">
        <v>129</v>
      </c>
      <c r="C20" s="323">
        <f t="shared" si="6"/>
        <v>19</v>
      </c>
      <c r="D20" s="324">
        <f t="shared" si="7"/>
        <v>6</v>
      </c>
      <c r="E20" s="325">
        <f t="shared" si="0"/>
        <v>26</v>
      </c>
      <c r="F20" s="326">
        <f t="shared" si="1"/>
        <v>13</v>
      </c>
      <c r="G20" s="325">
        <f t="shared" si="2"/>
        <v>6</v>
      </c>
      <c r="H20" s="327">
        <f t="shared" si="3"/>
        <v>6</v>
      </c>
      <c r="I20" s="326">
        <f t="shared" si="4"/>
        <v>6</v>
      </c>
      <c r="L20" s="341">
        <f t="shared" si="9"/>
        <v>90</v>
      </c>
      <c r="M20" s="342">
        <f t="shared" si="8"/>
        <v>150</v>
      </c>
      <c r="N20" s="342">
        <f t="shared" si="10"/>
        <v>450</v>
      </c>
      <c r="O20" s="342">
        <f t="shared" si="11"/>
        <v>-51</v>
      </c>
      <c r="P20" s="331" t="s">
        <v>1217</v>
      </c>
      <c r="R20" s="403" t="s">
        <v>1331</v>
      </c>
      <c r="S20" s="396" t="s">
        <v>1332</v>
      </c>
      <c r="T20" s="401" t="s">
        <v>1333</v>
      </c>
      <c r="U20" s="268" t="s">
        <v>1319</v>
      </c>
    </row>
    <row r="21" spans="1:21" ht="12.75" x14ac:dyDescent="0.2">
      <c r="A21" s="343">
        <f t="shared" si="5"/>
        <v>130</v>
      </c>
      <c r="B21" s="344">
        <v>136</v>
      </c>
      <c r="C21" s="345">
        <f t="shared" si="6"/>
        <v>20</v>
      </c>
      <c r="D21" s="346">
        <f t="shared" si="7"/>
        <v>7</v>
      </c>
      <c r="E21" s="347">
        <f t="shared" si="0"/>
        <v>27</v>
      </c>
      <c r="F21" s="348">
        <f t="shared" si="1"/>
        <v>14</v>
      </c>
      <c r="G21" s="347">
        <f t="shared" si="2"/>
        <v>7</v>
      </c>
      <c r="H21" s="349">
        <f t="shared" si="3"/>
        <v>7</v>
      </c>
      <c r="I21" s="348">
        <f t="shared" si="4"/>
        <v>7</v>
      </c>
      <c r="L21" s="325">
        <f t="shared" si="9"/>
        <v>95</v>
      </c>
      <c r="M21" s="327">
        <f t="shared" si="8"/>
        <v>158</v>
      </c>
      <c r="N21" s="327">
        <f t="shared" si="10"/>
        <v>475</v>
      </c>
      <c r="O21" s="327">
        <f t="shared" si="11"/>
        <v>-54</v>
      </c>
      <c r="P21" s="331"/>
      <c r="R21" s="403" t="s">
        <v>1334</v>
      </c>
      <c r="S21" s="396" t="s">
        <v>1335</v>
      </c>
      <c r="T21" s="401" t="s">
        <v>1336</v>
      </c>
      <c r="U21" s="268"/>
    </row>
    <row r="22" spans="1:21" ht="12.75" x14ac:dyDescent="0.2">
      <c r="A22" s="321">
        <f t="shared" si="5"/>
        <v>137</v>
      </c>
      <c r="B22" s="322">
        <v>143</v>
      </c>
      <c r="C22" s="323">
        <f t="shared" si="6"/>
        <v>21</v>
      </c>
      <c r="D22" s="324">
        <f t="shared" si="7"/>
        <v>7</v>
      </c>
      <c r="E22" s="325">
        <f t="shared" si="0"/>
        <v>29</v>
      </c>
      <c r="F22" s="326">
        <f t="shared" si="1"/>
        <v>14</v>
      </c>
      <c r="G22" s="325">
        <f t="shared" si="2"/>
        <v>7</v>
      </c>
      <c r="H22" s="327">
        <f t="shared" si="3"/>
        <v>7</v>
      </c>
      <c r="I22" s="326">
        <f t="shared" si="4"/>
        <v>7</v>
      </c>
      <c r="L22" s="339">
        <f t="shared" si="9"/>
        <v>100</v>
      </c>
      <c r="M22" s="340">
        <f t="shared" si="8"/>
        <v>167</v>
      </c>
      <c r="N22" s="340">
        <f t="shared" si="10"/>
        <v>500</v>
      </c>
      <c r="O22" s="340">
        <f t="shared" si="11"/>
        <v>-57</v>
      </c>
      <c r="P22" s="331"/>
      <c r="R22" s="403" t="s">
        <v>1337</v>
      </c>
      <c r="S22" s="396" t="s">
        <v>1338</v>
      </c>
      <c r="T22" s="401" t="s">
        <v>1339</v>
      </c>
      <c r="U22" s="268"/>
    </row>
    <row r="23" spans="1:21" ht="12.75" x14ac:dyDescent="0.2">
      <c r="A23" s="332">
        <f t="shared" si="5"/>
        <v>144</v>
      </c>
      <c r="B23" s="333">
        <v>149</v>
      </c>
      <c r="C23" s="334">
        <f t="shared" si="6"/>
        <v>22</v>
      </c>
      <c r="D23" s="335">
        <f t="shared" si="7"/>
        <v>7</v>
      </c>
      <c r="E23" s="336">
        <f t="shared" si="0"/>
        <v>30</v>
      </c>
      <c r="F23" s="337">
        <f t="shared" si="1"/>
        <v>15</v>
      </c>
      <c r="G23" s="336">
        <f t="shared" si="2"/>
        <v>7</v>
      </c>
      <c r="H23" s="338">
        <f t="shared" si="3"/>
        <v>7</v>
      </c>
      <c r="I23" s="337">
        <f t="shared" si="4"/>
        <v>7</v>
      </c>
      <c r="L23" s="325">
        <f t="shared" si="9"/>
        <v>105</v>
      </c>
      <c r="M23" s="327">
        <f t="shared" si="8"/>
        <v>175</v>
      </c>
      <c r="N23" s="327">
        <f t="shared" si="10"/>
        <v>525</v>
      </c>
      <c r="O23" s="327">
        <f t="shared" si="11"/>
        <v>-60</v>
      </c>
      <c r="P23" s="331"/>
      <c r="R23" s="403" t="s">
        <v>1340</v>
      </c>
      <c r="S23" s="396" t="s">
        <v>1341</v>
      </c>
      <c r="T23" s="401" t="s">
        <v>1339</v>
      </c>
      <c r="U23" s="268"/>
    </row>
    <row r="24" spans="1:21" ht="12.75" x14ac:dyDescent="0.2">
      <c r="A24" s="332">
        <f t="shared" si="5"/>
        <v>150</v>
      </c>
      <c r="B24" s="333">
        <v>156</v>
      </c>
      <c r="C24" s="334">
        <f t="shared" si="6"/>
        <v>23</v>
      </c>
      <c r="D24" s="335">
        <f t="shared" si="7"/>
        <v>8</v>
      </c>
      <c r="E24" s="336">
        <f t="shared" si="0"/>
        <v>31</v>
      </c>
      <c r="F24" s="337">
        <f t="shared" si="1"/>
        <v>16</v>
      </c>
      <c r="G24" s="336">
        <f t="shared" si="2"/>
        <v>8</v>
      </c>
      <c r="H24" s="338">
        <f t="shared" si="3"/>
        <v>8</v>
      </c>
      <c r="I24" s="337">
        <f t="shared" si="4"/>
        <v>8</v>
      </c>
      <c r="L24" s="325">
        <f t="shared" si="9"/>
        <v>110</v>
      </c>
      <c r="M24" s="327">
        <f t="shared" si="8"/>
        <v>183</v>
      </c>
      <c r="N24" s="327">
        <f t="shared" si="10"/>
        <v>550</v>
      </c>
      <c r="O24" s="327">
        <f t="shared" si="11"/>
        <v>-63</v>
      </c>
      <c r="P24" s="331"/>
      <c r="R24" s="403" t="s">
        <v>1342</v>
      </c>
      <c r="S24" s="396" t="s">
        <v>1343</v>
      </c>
      <c r="T24" s="5" t="s">
        <v>1344</v>
      </c>
      <c r="U24" s="268"/>
    </row>
    <row r="25" spans="1:21" ht="12.75" x14ac:dyDescent="0.2">
      <c r="A25" s="332">
        <f t="shared" si="5"/>
        <v>157</v>
      </c>
      <c r="B25" s="333">
        <v>163</v>
      </c>
      <c r="C25" s="334">
        <f t="shared" si="6"/>
        <v>24</v>
      </c>
      <c r="D25" s="335">
        <f t="shared" si="7"/>
        <v>8</v>
      </c>
      <c r="E25" s="336">
        <f t="shared" si="0"/>
        <v>33</v>
      </c>
      <c r="F25" s="337">
        <f t="shared" si="1"/>
        <v>16</v>
      </c>
      <c r="G25" s="336">
        <f t="shared" si="2"/>
        <v>8</v>
      </c>
      <c r="H25" s="338">
        <f t="shared" si="3"/>
        <v>8</v>
      </c>
      <c r="I25" s="337">
        <f t="shared" si="4"/>
        <v>8</v>
      </c>
      <c r="L25" s="325">
        <f t="shared" si="9"/>
        <v>115</v>
      </c>
      <c r="M25" s="327">
        <f t="shared" si="8"/>
        <v>192</v>
      </c>
      <c r="N25" s="327">
        <f t="shared" si="10"/>
        <v>575</v>
      </c>
      <c r="O25" s="327">
        <f t="shared" si="11"/>
        <v>-66</v>
      </c>
      <c r="P25" s="331"/>
      <c r="R25" s="404" t="s">
        <v>1345</v>
      </c>
      <c r="S25" s="396" t="s">
        <v>1346</v>
      </c>
      <c r="T25" s="401" t="s">
        <v>1347</v>
      </c>
      <c r="U25" s="268"/>
    </row>
    <row r="26" spans="1:21" ht="12.75" x14ac:dyDescent="0.2">
      <c r="A26" s="321">
        <f t="shared" si="5"/>
        <v>164</v>
      </c>
      <c r="B26" s="322">
        <v>169</v>
      </c>
      <c r="C26" s="323">
        <f t="shared" si="6"/>
        <v>25</v>
      </c>
      <c r="D26" s="324">
        <f t="shared" si="7"/>
        <v>8</v>
      </c>
      <c r="E26" s="325">
        <f t="shared" si="0"/>
        <v>34</v>
      </c>
      <c r="F26" s="326">
        <f t="shared" si="1"/>
        <v>17</v>
      </c>
      <c r="G26" s="325">
        <f t="shared" si="2"/>
        <v>8</v>
      </c>
      <c r="H26" s="327">
        <f t="shared" si="3"/>
        <v>8</v>
      </c>
      <c r="I26" s="326">
        <f t="shared" si="4"/>
        <v>8</v>
      </c>
      <c r="L26" s="339">
        <f t="shared" si="9"/>
        <v>120</v>
      </c>
      <c r="M26" s="340">
        <f t="shared" si="8"/>
        <v>200</v>
      </c>
      <c r="N26" s="340">
        <f t="shared" si="10"/>
        <v>600</v>
      </c>
      <c r="O26" s="340">
        <f t="shared" si="11"/>
        <v>-69</v>
      </c>
      <c r="P26" s="331"/>
      <c r="R26" s="404" t="s">
        <v>1348</v>
      </c>
      <c r="S26" s="396" t="s">
        <v>1349</v>
      </c>
      <c r="T26" s="401" t="s">
        <v>1350</v>
      </c>
      <c r="U26" s="268"/>
    </row>
    <row r="27" spans="1:21" ht="12.75" x14ac:dyDescent="0.2">
      <c r="A27" s="321">
        <f t="shared" si="5"/>
        <v>170</v>
      </c>
      <c r="B27" s="322">
        <v>176</v>
      </c>
      <c r="C27" s="323">
        <f t="shared" si="6"/>
        <v>26</v>
      </c>
      <c r="D27" s="324">
        <f t="shared" si="7"/>
        <v>9</v>
      </c>
      <c r="E27" s="325">
        <f t="shared" si="0"/>
        <v>35</v>
      </c>
      <c r="F27" s="326">
        <f t="shared" si="1"/>
        <v>18</v>
      </c>
      <c r="G27" s="325">
        <f t="shared" si="2"/>
        <v>9</v>
      </c>
      <c r="H27" s="327">
        <f t="shared" si="3"/>
        <v>9</v>
      </c>
      <c r="I27" s="326">
        <f t="shared" si="4"/>
        <v>9</v>
      </c>
      <c r="L27" s="325">
        <f t="shared" si="9"/>
        <v>125</v>
      </c>
      <c r="M27" s="327">
        <f t="shared" si="8"/>
        <v>208</v>
      </c>
      <c r="N27" s="327">
        <f t="shared" si="10"/>
        <v>625</v>
      </c>
      <c r="O27" s="327">
        <f t="shared" si="11"/>
        <v>-72</v>
      </c>
      <c r="P27" s="331"/>
      <c r="R27" s="405" t="s">
        <v>1351</v>
      </c>
      <c r="S27" s="396" t="s">
        <v>1352</v>
      </c>
      <c r="T27" s="401" t="s">
        <v>1333</v>
      </c>
      <c r="U27" s="268" t="s">
        <v>1301</v>
      </c>
    </row>
    <row r="28" spans="1:21" ht="12.75" x14ac:dyDescent="0.2">
      <c r="A28" s="321">
        <f t="shared" si="5"/>
        <v>177</v>
      </c>
      <c r="B28" s="322">
        <v>183</v>
      </c>
      <c r="C28" s="323">
        <f t="shared" si="6"/>
        <v>27</v>
      </c>
      <c r="D28" s="324">
        <f t="shared" si="7"/>
        <v>9</v>
      </c>
      <c r="E28" s="325">
        <f t="shared" si="0"/>
        <v>37</v>
      </c>
      <c r="F28" s="326">
        <f t="shared" si="1"/>
        <v>18</v>
      </c>
      <c r="G28" s="325">
        <f t="shared" si="2"/>
        <v>9</v>
      </c>
      <c r="H28" s="327">
        <f t="shared" si="3"/>
        <v>9</v>
      </c>
      <c r="I28" s="326">
        <f t="shared" si="4"/>
        <v>9</v>
      </c>
      <c r="L28" s="325">
        <f t="shared" si="9"/>
        <v>130</v>
      </c>
      <c r="M28" s="327">
        <f t="shared" si="8"/>
        <v>217</v>
      </c>
      <c r="N28" s="327">
        <f t="shared" si="10"/>
        <v>650</v>
      </c>
      <c r="O28" s="327">
        <f t="shared" si="11"/>
        <v>-75</v>
      </c>
      <c r="P28" s="331"/>
      <c r="R28" s="405" t="s">
        <v>1353</v>
      </c>
      <c r="S28" s="396" t="s">
        <v>1354</v>
      </c>
      <c r="T28" s="401" t="s">
        <v>1355</v>
      </c>
      <c r="U28" s="268"/>
    </row>
    <row r="29" spans="1:21" ht="12.75" x14ac:dyDescent="0.2">
      <c r="A29" s="332">
        <f t="shared" si="5"/>
        <v>184</v>
      </c>
      <c r="B29" s="333">
        <v>189</v>
      </c>
      <c r="C29" s="334">
        <f t="shared" si="6"/>
        <v>28</v>
      </c>
      <c r="D29" s="335">
        <f t="shared" si="7"/>
        <v>9</v>
      </c>
      <c r="E29" s="336">
        <f t="shared" si="0"/>
        <v>38</v>
      </c>
      <c r="F29" s="337">
        <f t="shared" si="1"/>
        <v>19</v>
      </c>
      <c r="G29" s="336">
        <f t="shared" si="2"/>
        <v>9</v>
      </c>
      <c r="H29" s="338">
        <f t="shared" si="3"/>
        <v>9</v>
      </c>
      <c r="I29" s="337">
        <f t="shared" si="4"/>
        <v>9</v>
      </c>
      <c r="L29" s="325">
        <f t="shared" si="9"/>
        <v>135</v>
      </c>
      <c r="M29" s="327">
        <f t="shared" si="8"/>
        <v>225</v>
      </c>
      <c r="N29" s="327">
        <f t="shared" si="10"/>
        <v>675</v>
      </c>
      <c r="O29" s="327">
        <f t="shared" si="11"/>
        <v>-78</v>
      </c>
      <c r="P29" s="331"/>
      <c r="R29" s="405" t="s">
        <v>1356</v>
      </c>
      <c r="S29" s="396" t="s">
        <v>1357</v>
      </c>
      <c r="T29" s="401" t="s">
        <v>1355</v>
      </c>
      <c r="U29" s="268"/>
    </row>
    <row r="30" spans="1:21" ht="12.75" x14ac:dyDescent="0.2">
      <c r="A30" s="332">
        <f t="shared" si="5"/>
        <v>190</v>
      </c>
      <c r="B30" s="333">
        <v>196</v>
      </c>
      <c r="C30" s="334">
        <f t="shared" si="6"/>
        <v>29</v>
      </c>
      <c r="D30" s="335">
        <f t="shared" si="7"/>
        <v>10</v>
      </c>
      <c r="E30" s="336">
        <f t="shared" si="0"/>
        <v>39</v>
      </c>
      <c r="F30" s="337">
        <f t="shared" si="1"/>
        <v>20</v>
      </c>
      <c r="G30" s="336">
        <f t="shared" si="2"/>
        <v>10</v>
      </c>
      <c r="H30" s="338">
        <f t="shared" si="3"/>
        <v>10</v>
      </c>
      <c r="I30" s="337">
        <f t="shared" si="4"/>
        <v>10</v>
      </c>
      <c r="L30" s="339">
        <f t="shared" si="9"/>
        <v>140</v>
      </c>
      <c r="M30" s="340">
        <f t="shared" si="8"/>
        <v>233</v>
      </c>
      <c r="N30" s="340">
        <f t="shared" si="10"/>
        <v>700</v>
      </c>
      <c r="O30" s="340">
        <f t="shared" si="11"/>
        <v>-81</v>
      </c>
      <c r="P30" s="331"/>
      <c r="R30" s="405" t="s">
        <v>1358</v>
      </c>
      <c r="S30" s="396" t="s">
        <v>1359</v>
      </c>
      <c r="T30" s="401" t="s">
        <v>1360</v>
      </c>
      <c r="U30" s="268"/>
    </row>
    <row r="31" spans="1:21" ht="12.75" x14ac:dyDescent="0.2">
      <c r="A31" s="332">
        <f t="shared" si="5"/>
        <v>197</v>
      </c>
      <c r="B31" s="333">
        <v>203</v>
      </c>
      <c r="C31" s="334">
        <f t="shared" si="6"/>
        <v>30</v>
      </c>
      <c r="D31" s="335">
        <f t="shared" si="7"/>
        <v>10</v>
      </c>
      <c r="E31" s="336">
        <f t="shared" si="0"/>
        <v>41</v>
      </c>
      <c r="F31" s="337">
        <f t="shared" si="1"/>
        <v>20</v>
      </c>
      <c r="G31" s="336">
        <f t="shared" si="2"/>
        <v>10</v>
      </c>
      <c r="H31" s="338">
        <f t="shared" si="3"/>
        <v>10</v>
      </c>
      <c r="I31" s="337">
        <f t="shared" si="4"/>
        <v>10</v>
      </c>
      <c r="L31" s="325">
        <f t="shared" si="9"/>
        <v>145</v>
      </c>
      <c r="M31" s="327">
        <f t="shared" si="8"/>
        <v>242</v>
      </c>
      <c r="N31" s="327">
        <f t="shared" si="10"/>
        <v>725</v>
      </c>
      <c r="O31" s="327">
        <f t="shared" si="11"/>
        <v>-84</v>
      </c>
      <c r="P31" s="331"/>
      <c r="R31" s="405" t="s">
        <v>1361</v>
      </c>
      <c r="S31" s="396" t="s">
        <v>1362</v>
      </c>
      <c r="T31" s="401" t="s">
        <v>1360</v>
      </c>
      <c r="U31" s="268"/>
    </row>
    <row r="32" spans="1:21" ht="12.75" x14ac:dyDescent="0.2">
      <c r="A32" s="321">
        <f t="shared" si="5"/>
        <v>204</v>
      </c>
      <c r="B32" s="322">
        <v>209</v>
      </c>
      <c r="C32" s="323">
        <f t="shared" si="6"/>
        <v>31</v>
      </c>
      <c r="D32" s="324">
        <f t="shared" si="7"/>
        <v>10</v>
      </c>
      <c r="E32" s="325">
        <f t="shared" si="0"/>
        <v>42</v>
      </c>
      <c r="F32" s="326">
        <f t="shared" si="1"/>
        <v>21</v>
      </c>
      <c r="G32" s="325">
        <f t="shared" si="2"/>
        <v>10</v>
      </c>
      <c r="H32" s="327">
        <f t="shared" si="3"/>
        <v>10</v>
      </c>
      <c r="I32" s="326">
        <f t="shared" si="4"/>
        <v>10</v>
      </c>
      <c r="L32" s="325">
        <f t="shared" si="9"/>
        <v>150</v>
      </c>
      <c r="M32" s="327">
        <f t="shared" si="8"/>
        <v>250</v>
      </c>
      <c r="N32" s="327">
        <f t="shared" si="10"/>
        <v>750</v>
      </c>
      <c r="O32" s="327">
        <f t="shared" si="11"/>
        <v>-87</v>
      </c>
      <c r="P32" s="331"/>
      <c r="R32" s="405" t="s">
        <v>1363</v>
      </c>
      <c r="S32" s="396" t="s">
        <v>1364</v>
      </c>
      <c r="T32" s="402" t="s">
        <v>1365</v>
      </c>
      <c r="U32" s="268"/>
    </row>
    <row r="33" spans="1:21" ht="12.75" x14ac:dyDescent="0.2">
      <c r="A33" s="321">
        <f t="shared" si="5"/>
        <v>210</v>
      </c>
      <c r="B33" s="322">
        <v>216</v>
      </c>
      <c r="C33" s="323">
        <f t="shared" si="6"/>
        <v>32</v>
      </c>
      <c r="D33" s="324">
        <f t="shared" si="7"/>
        <v>11</v>
      </c>
      <c r="E33" s="325">
        <f t="shared" si="0"/>
        <v>43</v>
      </c>
      <c r="F33" s="326">
        <f t="shared" si="1"/>
        <v>22</v>
      </c>
      <c r="G33" s="325">
        <f t="shared" si="2"/>
        <v>11</v>
      </c>
      <c r="H33" s="327">
        <f t="shared" si="3"/>
        <v>11</v>
      </c>
      <c r="I33" s="326">
        <f t="shared" si="4"/>
        <v>11</v>
      </c>
      <c r="L33" s="325">
        <f t="shared" si="9"/>
        <v>155</v>
      </c>
      <c r="M33" s="327">
        <f t="shared" si="8"/>
        <v>258</v>
      </c>
      <c r="N33" s="327">
        <f t="shared" si="10"/>
        <v>775</v>
      </c>
      <c r="O33" s="327">
        <f t="shared" si="11"/>
        <v>-90</v>
      </c>
      <c r="P33" s="331"/>
      <c r="R33" s="406" t="s">
        <v>1366</v>
      </c>
      <c r="S33" s="407" t="s">
        <v>1367</v>
      </c>
      <c r="T33" s="408" t="s">
        <v>1368</v>
      </c>
      <c r="U33" s="409"/>
    </row>
    <row r="34" spans="1:21" x14ac:dyDescent="0.2">
      <c r="A34" s="321">
        <f t="shared" si="5"/>
        <v>217</v>
      </c>
      <c r="B34" s="322">
        <v>223</v>
      </c>
      <c r="C34" s="323">
        <f t="shared" si="6"/>
        <v>33</v>
      </c>
      <c r="D34" s="324">
        <f t="shared" si="7"/>
        <v>11</v>
      </c>
      <c r="E34" s="325">
        <f t="shared" si="0"/>
        <v>45</v>
      </c>
      <c r="F34" s="326">
        <f t="shared" si="1"/>
        <v>22</v>
      </c>
      <c r="G34" s="325">
        <f t="shared" si="2"/>
        <v>11</v>
      </c>
      <c r="H34" s="327">
        <f t="shared" si="3"/>
        <v>11</v>
      </c>
      <c r="I34" s="326">
        <f t="shared" si="4"/>
        <v>11</v>
      </c>
      <c r="L34" s="339">
        <f t="shared" si="9"/>
        <v>160</v>
      </c>
      <c r="M34" s="340">
        <f t="shared" si="8"/>
        <v>267</v>
      </c>
      <c r="N34" s="340">
        <f t="shared" si="10"/>
        <v>800</v>
      </c>
      <c r="O34" s="340">
        <f t="shared" si="11"/>
        <v>-93</v>
      </c>
      <c r="P34" s="331"/>
    </row>
    <row r="35" spans="1:21" x14ac:dyDescent="0.2">
      <c r="A35" s="332">
        <f t="shared" si="5"/>
        <v>224</v>
      </c>
      <c r="B35" s="333">
        <v>229</v>
      </c>
      <c r="C35" s="334">
        <f t="shared" si="6"/>
        <v>34</v>
      </c>
      <c r="D35" s="335">
        <f t="shared" si="7"/>
        <v>11</v>
      </c>
      <c r="E35" s="336">
        <f t="shared" si="0"/>
        <v>46</v>
      </c>
      <c r="F35" s="337">
        <f t="shared" si="1"/>
        <v>23</v>
      </c>
      <c r="G35" s="336">
        <f t="shared" si="2"/>
        <v>11</v>
      </c>
      <c r="H35" s="338">
        <f t="shared" si="3"/>
        <v>11</v>
      </c>
      <c r="I35" s="337">
        <f t="shared" si="4"/>
        <v>11</v>
      </c>
      <c r="L35" s="325">
        <f t="shared" si="9"/>
        <v>165</v>
      </c>
      <c r="M35" s="327">
        <f t="shared" si="8"/>
        <v>275</v>
      </c>
      <c r="N35" s="327">
        <f t="shared" si="10"/>
        <v>825</v>
      </c>
      <c r="O35" s="327">
        <f t="shared" si="11"/>
        <v>-96</v>
      </c>
      <c r="P35" s="331"/>
    </row>
    <row r="36" spans="1:21" x14ac:dyDescent="0.2">
      <c r="A36" s="332">
        <f t="shared" si="5"/>
        <v>230</v>
      </c>
      <c r="B36" s="333">
        <v>236</v>
      </c>
      <c r="C36" s="334">
        <f t="shared" si="6"/>
        <v>35</v>
      </c>
      <c r="D36" s="335">
        <f t="shared" si="7"/>
        <v>12</v>
      </c>
      <c r="E36" s="336">
        <f t="shared" si="0"/>
        <v>47</v>
      </c>
      <c r="F36" s="337">
        <f t="shared" si="1"/>
        <v>24</v>
      </c>
      <c r="G36" s="336">
        <f t="shared" si="2"/>
        <v>12</v>
      </c>
      <c r="H36" s="338">
        <f t="shared" si="3"/>
        <v>12</v>
      </c>
      <c r="I36" s="337">
        <f t="shared" si="4"/>
        <v>12</v>
      </c>
      <c r="L36" s="325">
        <f t="shared" si="9"/>
        <v>170</v>
      </c>
      <c r="M36" s="327">
        <f t="shared" si="8"/>
        <v>283</v>
      </c>
      <c r="N36" s="327">
        <f t="shared" si="10"/>
        <v>850</v>
      </c>
      <c r="O36" s="327">
        <f t="shared" si="11"/>
        <v>-99</v>
      </c>
      <c r="P36" s="331"/>
    </row>
    <row r="37" spans="1:21" x14ac:dyDescent="0.2">
      <c r="A37" s="332">
        <f t="shared" si="5"/>
        <v>237</v>
      </c>
      <c r="B37" s="333">
        <v>243</v>
      </c>
      <c r="C37" s="334">
        <f t="shared" si="6"/>
        <v>36</v>
      </c>
      <c r="D37" s="335">
        <f t="shared" si="7"/>
        <v>12</v>
      </c>
      <c r="E37" s="336">
        <f t="shared" si="0"/>
        <v>49</v>
      </c>
      <c r="F37" s="337">
        <f t="shared" si="1"/>
        <v>24</v>
      </c>
      <c r="G37" s="336">
        <f t="shared" si="2"/>
        <v>12</v>
      </c>
      <c r="H37" s="338">
        <f t="shared" si="3"/>
        <v>12</v>
      </c>
      <c r="I37" s="337">
        <f t="shared" si="4"/>
        <v>12</v>
      </c>
      <c r="L37" s="325">
        <f t="shared" si="9"/>
        <v>175</v>
      </c>
      <c r="M37" s="327">
        <f t="shared" si="8"/>
        <v>292</v>
      </c>
      <c r="N37" s="327">
        <f t="shared" si="10"/>
        <v>875</v>
      </c>
      <c r="O37" s="327">
        <f t="shared" si="11"/>
        <v>-102</v>
      </c>
      <c r="P37" s="331"/>
    </row>
    <row r="38" spans="1:21" x14ac:dyDescent="0.2">
      <c r="A38" s="321">
        <f t="shared" si="5"/>
        <v>244</v>
      </c>
      <c r="B38" s="322">
        <v>249</v>
      </c>
      <c r="C38" s="323">
        <f t="shared" si="6"/>
        <v>37</v>
      </c>
      <c r="D38" s="324">
        <f t="shared" si="7"/>
        <v>12</v>
      </c>
      <c r="E38" s="325">
        <f t="shared" si="0"/>
        <v>50</v>
      </c>
      <c r="F38" s="326">
        <f t="shared" si="1"/>
        <v>25</v>
      </c>
      <c r="G38" s="325">
        <f t="shared" si="2"/>
        <v>12</v>
      </c>
      <c r="H38" s="327">
        <f t="shared" si="3"/>
        <v>12</v>
      </c>
      <c r="I38" s="326">
        <f t="shared" si="4"/>
        <v>12</v>
      </c>
      <c r="L38" s="339">
        <f t="shared" si="9"/>
        <v>180</v>
      </c>
      <c r="M38" s="340">
        <f t="shared" si="8"/>
        <v>300</v>
      </c>
      <c r="N38" s="340">
        <f t="shared" si="10"/>
        <v>900</v>
      </c>
      <c r="O38" s="340">
        <f t="shared" si="11"/>
        <v>-105</v>
      </c>
      <c r="P38" s="410" t="s">
        <v>1369</v>
      </c>
    </row>
    <row r="39" spans="1:21" x14ac:dyDescent="0.2">
      <c r="A39" s="321">
        <f t="shared" si="5"/>
        <v>250</v>
      </c>
      <c r="B39" s="322">
        <v>256</v>
      </c>
      <c r="C39" s="323">
        <f t="shared" si="6"/>
        <v>38</v>
      </c>
      <c r="D39" s="324">
        <f t="shared" si="7"/>
        <v>13</v>
      </c>
      <c r="E39" s="325">
        <f t="shared" si="0"/>
        <v>51</v>
      </c>
      <c r="F39" s="326">
        <f t="shared" si="1"/>
        <v>26</v>
      </c>
      <c r="G39" s="325">
        <f t="shared" si="2"/>
        <v>13</v>
      </c>
      <c r="H39" s="327">
        <f t="shared" si="3"/>
        <v>13</v>
      </c>
      <c r="I39" s="326">
        <f t="shared" si="4"/>
        <v>13</v>
      </c>
      <c r="L39" s="325">
        <f t="shared" si="9"/>
        <v>185</v>
      </c>
      <c r="M39" s="327">
        <f t="shared" si="8"/>
        <v>308</v>
      </c>
      <c r="N39" s="327">
        <f t="shared" si="10"/>
        <v>925</v>
      </c>
      <c r="O39" s="327">
        <f t="shared" si="11"/>
        <v>-108</v>
      </c>
      <c r="P39" s="331"/>
    </row>
    <row r="40" spans="1:21" x14ac:dyDescent="0.2">
      <c r="A40" s="321">
        <f t="shared" si="5"/>
        <v>257</v>
      </c>
      <c r="B40" s="322">
        <v>263</v>
      </c>
      <c r="C40" s="323">
        <f t="shared" si="6"/>
        <v>39</v>
      </c>
      <c r="D40" s="324">
        <f t="shared" si="7"/>
        <v>13</v>
      </c>
      <c r="E40" s="325">
        <f t="shared" si="0"/>
        <v>53</v>
      </c>
      <c r="F40" s="326">
        <f t="shared" si="1"/>
        <v>26</v>
      </c>
      <c r="G40" s="325">
        <f t="shared" si="2"/>
        <v>13</v>
      </c>
      <c r="H40" s="327">
        <f t="shared" si="3"/>
        <v>13</v>
      </c>
      <c r="I40" s="326">
        <f t="shared" si="4"/>
        <v>13</v>
      </c>
      <c r="L40" s="325">
        <f t="shared" si="9"/>
        <v>190</v>
      </c>
      <c r="M40" s="327">
        <f t="shared" si="8"/>
        <v>317</v>
      </c>
      <c r="N40" s="327">
        <f t="shared" si="10"/>
        <v>950</v>
      </c>
      <c r="O40" s="327">
        <f t="shared" si="11"/>
        <v>-111</v>
      </c>
      <c r="P40" s="331"/>
    </row>
    <row r="41" spans="1:21" x14ac:dyDescent="0.2">
      <c r="A41" s="350">
        <f t="shared" si="5"/>
        <v>264</v>
      </c>
      <c r="B41" s="351">
        <v>269</v>
      </c>
      <c r="C41" s="352">
        <f t="shared" si="6"/>
        <v>40</v>
      </c>
      <c r="D41" s="353">
        <f t="shared" si="7"/>
        <v>13</v>
      </c>
      <c r="E41" s="354">
        <f t="shared" si="0"/>
        <v>54</v>
      </c>
      <c r="F41" s="355">
        <f t="shared" si="1"/>
        <v>27</v>
      </c>
      <c r="G41" s="354">
        <f t="shared" si="2"/>
        <v>13</v>
      </c>
      <c r="H41" s="356">
        <f t="shared" si="3"/>
        <v>13</v>
      </c>
      <c r="I41" s="355">
        <f t="shared" si="4"/>
        <v>13</v>
      </c>
      <c r="L41" s="325">
        <f t="shared" si="9"/>
        <v>195</v>
      </c>
      <c r="M41" s="327">
        <f t="shared" si="8"/>
        <v>325</v>
      </c>
      <c r="N41" s="327">
        <f t="shared" si="10"/>
        <v>975</v>
      </c>
      <c r="O41" s="327">
        <f t="shared" si="11"/>
        <v>-114</v>
      </c>
      <c r="P41" s="331"/>
    </row>
    <row r="42" spans="1:21" x14ac:dyDescent="0.2">
      <c r="L42" s="339">
        <f t="shared" si="9"/>
        <v>200</v>
      </c>
      <c r="M42" s="340">
        <f t="shared" si="8"/>
        <v>333</v>
      </c>
      <c r="N42" s="340">
        <f t="shared" si="10"/>
        <v>1000</v>
      </c>
      <c r="O42" s="340">
        <f t="shared" si="11"/>
        <v>-117</v>
      </c>
      <c r="P42" s="331"/>
    </row>
    <row r="43" spans="1:21" x14ac:dyDescent="0.2">
      <c r="L43" s="325">
        <f t="shared" si="9"/>
        <v>205</v>
      </c>
      <c r="M43" s="327">
        <f t="shared" si="8"/>
        <v>342</v>
      </c>
      <c r="N43" s="327">
        <f t="shared" si="10"/>
        <v>1025</v>
      </c>
      <c r="O43" s="327">
        <f t="shared" si="11"/>
        <v>-120</v>
      </c>
      <c r="P43" s="331"/>
    </row>
    <row r="44" spans="1:21" x14ac:dyDescent="0.2">
      <c r="L44" s="325">
        <f t="shared" si="9"/>
        <v>210</v>
      </c>
      <c r="M44" s="327">
        <f t="shared" si="8"/>
        <v>350</v>
      </c>
      <c r="N44" s="327">
        <f t="shared" si="10"/>
        <v>1050</v>
      </c>
      <c r="O44" s="327">
        <f t="shared" si="11"/>
        <v>-123</v>
      </c>
      <c r="P44" s="331"/>
    </row>
    <row r="45" spans="1:21" x14ac:dyDescent="0.2">
      <c r="L45" s="325">
        <f t="shared" si="9"/>
        <v>215</v>
      </c>
      <c r="M45" s="327">
        <f t="shared" si="8"/>
        <v>358</v>
      </c>
      <c r="N45" s="327">
        <f t="shared" si="10"/>
        <v>1075</v>
      </c>
      <c r="O45" s="327">
        <f t="shared" si="11"/>
        <v>-126</v>
      </c>
      <c r="P45" s="331"/>
    </row>
    <row r="46" spans="1:21" x14ac:dyDescent="0.2">
      <c r="L46" s="339">
        <f t="shared" si="9"/>
        <v>220</v>
      </c>
      <c r="M46" s="340">
        <f t="shared" si="8"/>
        <v>367</v>
      </c>
      <c r="N46" s="340">
        <f t="shared" si="10"/>
        <v>1100</v>
      </c>
      <c r="O46" s="340">
        <f t="shared" si="11"/>
        <v>-129</v>
      </c>
      <c r="P46" s="331"/>
    </row>
    <row r="47" spans="1:21" x14ac:dyDescent="0.2">
      <c r="L47" s="360">
        <f t="shared" si="9"/>
        <v>225</v>
      </c>
      <c r="M47" s="361">
        <f t="shared" si="8"/>
        <v>375</v>
      </c>
      <c r="N47" s="361">
        <f t="shared" si="10"/>
        <v>1125</v>
      </c>
      <c r="O47" s="361">
        <f t="shared" si="11"/>
        <v>-132</v>
      </c>
      <c r="P47" s="362" t="s">
        <v>1218</v>
      </c>
    </row>
  </sheetData>
  <sheetProtection selectLockedCells="1" selectUnlockedCells="1"/>
  <mergeCells count="3">
    <mergeCell ref="A1:B1"/>
    <mergeCell ref="O1:O2"/>
    <mergeCell ref="P1:P2"/>
  </mergeCells>
  <phoneticPr fontId="3" type="noConversion"/>
  <pageMargins left="0.75" right="0.75" top="1" bottom="1" header="0.51180555555555551" footer="0.51180555555555551"/>
  <pageSetup paperSize="9" firstPageNumber="0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C131"/>
  <sheetViews>
    <sheetView workbookViewId="0">
      <pane xSplit="2" ySplit="3" topLeftCell="C4" activePane="bottomRight" state="frozenSplit"/>
      <selection pane="topRight" activeCell="B1" sqref="B1"/>
      <selection pane="bottomLeft" activeCell="A2" sqref="A2"/>
      <selection pane="bottomRight" activeCell="F9" sqref="F9"/>
    </sheetView>
  </sheetViews>
  <sheetFormatPr defaultColWidth="9.140625" defaultRowHeight="12.75" x14ac:dyDescent="0.2"/>
  <cols>
    <col min="1" max="1" width="2.7109375" style="4" customWidth="1"/>
    <col min="2" max="2" width="37.85546875" style="7" customWidth="1"/>
    <col min="3" max="4" width="7.7109375" style="4" customWidth="1"/>
    <col min="5" max="5" width="10.28515625" style="219" customWidth="1"/>
    <col min="6" max="15" width="5.28515625" style="4" customWidth="1"/>
    <col min="16" max="19" width="4.7109375" style="4" customWidth="1"/>
    <col min="20" max="21" width="5.28515625" style="4" customWidth="1"/>
    <col min="22" max="22" width="5.42578125" style="4" customWidth="1"/>
    <col min="23" max="25" width="5.7109375" style="4" bestFit="1" customWidth="1"/>
    <col min="26" max="29" width="5.42578125" style="4" bestFit="1" customWidth="1"/>
    <col min="30" max="34" width="4.7109375" style="4" customWidth="1"/>
    <col min="35" max="38" width="5.7109375" style="4" customWidth="1"/>
    <col min="39" max="43" width="5.7109375" style="5" customWidth="1"/>
    <col min="44" max="52" width="4.7109375" style="4" customWidth="1"/>
    <col min="53" max="53" width="4.7109375" style="5" customWidth="1"/>
    <col min="54" max="54" width="7" style="5" customWidth="1"/>
    <col min="55" max="57" width="5.7109375" style="5" bestFit="1" customWidth="1"/>
    <col min="58" max="62" width="5.7109375" style="5" customWidth="1"/>
    <col min="63" max="66" width="4.7109375" style="5" customWidth="1"/>
    <col min="67" max="74" width="4.7109375" style="4" customWidth="1"/>
    <col min="75" max="81" width="5.28515625" style="4" customWidth="1"/>
    <col min="82" max="16384" width="9.140625" style="5"/>
  </cols>
  <sheetData>
    <row r="1" spans="1:81" x14ac:dyDescent="0.2">
      <c r="B1" s="2" t="s">
        <v>142</v>
      </c>
      <c r="C1" s="377" t="s">
        <v>146</v>
      </c>
      <c r="D1" s="377"/>
      <c r="E1" s="554"/>
      <c r="F1" s="368" t="s">
        <v>147</v>
      </c>
      <c r="G1" s="365"/>
      <c r="H1" s="365"/>
      <c r="I1" s="365"/>
      <c r="J1" s="365"/>
      <c r="K1" s="365"/>
      <c r="L1" s="365"/>
      <c r="M1" s="365"/>
      <c r="N1" s="365"/>
      <c r="O1" s="365"/>
      <c r="P1" s="375" t="s">
        <v>126</v>
      </c>
      <c r="Q1" s="375"/>
      <c r="R1" s="375"/>
      <c r="S1" s="375"/>
      <c r="T1" s="572" t="s">
        <v>1534</v>
      </c>
      <c r="U1" s="364"/>
      <c r="V1" s="364"/>
      <c r="W1" s="413"/>
      <c r="X1" s="413"/>
      <c r="Y1" s="413"/>
      <c r="Z1" s="413"/>
      <c r="AA1" s="413"/>
      <c r="AB1" s="413"/>
      <c r="AC1" s="413"/>
      <c r="AD1" s="264" t="s">
        <v>270</v>
      </c>
      <c r="AE1" s="32"/>
      <c r="AF1" s="32"/>
      <c r="AG1" s="32"/>
      <c r="AH1" s="32"/>
      <c r="AI1" s="369" t="s">
        <v>128</v>
      </c>
      <c r="AJ1" s="369"/>
      <c r="AK1" s="369"/>
      <c r="AL1" s="369"/>
      <c r="AM1" s="369" t="s">
        <v>1529</v>
      </c>
      <c r="AN1" s="369"/>
      <c r="AO1" s="369"/>
      <c r="AP1" s="363"/>
      <c r="AQ1" s="363"/>
      <c r="AR1" s="376" t="s">
        <v>137</v>
      </c>
      <c r="AS1" s="376"/>
      <c r="AT1" s="376"/>
      <c r="AU1" s="369" t="s">
        <v>138</v>
      </c>
      <c r="AV1" s="369"/>
      <c r="AW1" s="369"/>
      <c r="AX1" s="376" t="s">
        <v>139</v>
      </c>
      <c r="AY1" s="376"/>
      <c r="AZ1" s="376"/>
      <c r="BA1" s="369" t="s">
        <v>1478</v>
      </c>
      <c r="BB1" s="369"/>
      <c r="BC1" s="369"/>
      <c r="BD1" s="369"/>
      <c r="BE1" s="369"/>
      <c r="BF1" s="415"/>
      <c r="BG1" s="415"/>
      <c r="BH1" s="415"/>
      <c r="BI1" s="415"/>
      <c r="BJ1" s="415"/>
      <c r="BK1" s="364"/>
      <c r="BL1" s="5" t="s">
        <v>1493</v>
      </c>
      <c r="BO1" s="572" t="s">
        <v>1533</v>
      </c>
      <c r="BP1" s="364"/>
      <c r="BQ1" s="364"/>
      <c r="BR1" s="364"/>
      <c r="BS1" s="364"/>
      <c r="BT1" s="364"/>
      <c r="BU1" s="364"/>
      <c r="BV1" s="364"/>
      <c r="BW1" s="368" t="s">
        <v>1513</v>
      </c>
      <c r="BX1" s="365"/>
      <c r="BY1" s="365"/>
      <c r="BZ1" s="365"/>
      <c r="CA1" s="365"/>
      <c r="CB1" s="365"/>
      <c r="CC1" s="365"/>
    </row>
    <row r="2" spans="1:81" ht="99" customHeight="1" x14ac:dyDescent="0.2">
      <c r="A2" s="293" t="s">
        <v>143</v>
      </c>
      <c r="B2" s="293"/>
      <c r="C2" s="370" t="s">
        <v>145</v>
      </c>
      <c r="D2" s="370" t="s">
        <v>278</v>
      </c>
      <c r="E2" s="555" t="s">
        <v>1494</v>
      </c>
      <c r="F2" s="371" t="s">
        <v>109</v>
      </c>
      <c r="G2" s="371" t="s">
        <v>110</v>
      </c>
      <c r="H2" s="371" t="s">
        <v>111</v>
      </c>
      <c r="I2" s="371" t="s">
        <v>112</v>
      </c>
      <c r="J2" s="371" t="s">
        <v>113</v>
      </c>
      <c r="K2" s="371" t="s">
        <v>114</v>
      </c>
      <c r="L2" s="371" t="s">
        <v>124</v>
      </c>
      <c r="M2" s="370" t="s">
        <v>122</v>
      </c>
      <c r="N2" s="370" t="s">
        <v>123</v>
      </c>
      <c r="O2" s="370" t="s">
        <v>127</v>
      </c>
      <c r="P2" s="373" t="s">
        <v>128</v>
      </c>
      <c r="Q2" s="373" t="s">
        <v>125</v>
      </c>
      <c r="R2" s="373" t="s">
        <v>1224</v>
      </c>
      <c r="S2" s="373" t="s">
        <v>1225</v>
      </c>
      <c r="T2" s="372" t="s">
        <v>1496</v>
      </c>
      <c r="U2" s="372" t="s">
        <v>1497</v>
      </c>
      <c r="V2" s="372" t="s">
        <v>1223</v>
      </c>
      <c r="W2" s="414" t="s">
        <v>1504</v>
      </c>
      <c r="X2" s="414" t="s">
        <v>1505</v>
      </c>
      <c r="Y2" s="414" t="s">
        <v>1506</v>
      </c>
      <c r="Z2" s="414" t="s">
        <v>1500</v>
      </c>
      <c r="AA2" s="414" t="s">
        <v>1502</v>
      </c>
      <c r="AB2" s="414" t="s">
        <v>1501</v>
      </c>
      <c r="AC2" s="414" t="s">
        <v>1503</v>
      </c>
      <c r="AD2" s="373" t="s">
        <v>153</v>
      </c>
      <c r="AE2" s="373" t="s">
        <v>154</v>
      </c>
      <c r="AF2" s="373" t="s">
        <v>155</v>
      </c>
      <c r="AG2" s="373" t="s">
        <v>151</v>
      </c>
      <c r="AH2" s="373" t="s">
        <v>152</v>
      </c>
      <c r="AI2" s="373" t="s">
        <v>1226</v>
      </c>
      <c r="AJ2" s="373" t="s">
        <v>1227</v>
      </c>
      <c r="AK2" s="373" t="s">
        <v>1531</v>
      </c>
      <c r="AL2" s="373" t="s">
        <v>1530</v>
      </c>
      <c r="AM2" s="373" t="s">
        <v>1532</v>
      </c>
      <c r="AN2" s="373" t="s">
        <v>1507</v>
      </c>
      <c r="AO2" s="373" t="s">
        <v>1508</v>
      </c>
      <c r="AP2" s="373" t="s">
        <v>1498</v>
      </c>
      <c r="AQ2" s="373" t="s">
        <v>1499</v>
      </c>
      <c r="AR2" s="373" t="s">
        <v>1228</v>
      </c>
      <c r="AS2" s="373" t="s">
        <v>1229</v>
      </c>
      <c r="AT2" s="373" t="s">
        <v>1230</v>
      </c>
      <c r="AU2" s="373" t="s">
        <v>1231</v>
      </c>
      <c r="AV2" s="373" t="s">
        <v>1232</v>
      </c>
      <c r="AW2" s="373" t="s">
        <v>1233</v>
      </c>
      <c r="AX2" s="373" t="s">
        <v>1234</v>
      </c>
      <c r="AY2" s="373" t="s">
        <v>1235</v>
      </c>
      <c r="AZ2" s="373" t="s">
        <v>1236</v>
      </c>
      <c r="BA2" s="373" t="s">
        <v>1479</v>
      </c>
      <c r="BB2" s="373" t="s">
        <v>1237</v>
      </c>
      <c r="BC2" s="373" t="s">
        <v>1238</v>
      </c>
      <c r="BD2" s="373" t="s">
        <v>1239</v>
      </c>
      <c r="BE2" s="373" t="s">
        <v>1240</v>
      </c>
      <c r="BF2" s="416" t="s">
        <v>1371</v>
      </c>
      <c r="BG2" s="416" t="s">
        <v>1372</v>
      </c>
      <c r="BH2" s="416" t="s">
        <v>1480</v>
      </c>
      <c r="BI2" s="416" t="s">
        <v>1482</v>
      </c>
      <c r="BJ2" s="416" t="s">
        <v>1481</v>
      </c>
      <c r="BK2" s="373" t="s">
        <v>326</v>
      </c>
      <c r="BL2" s="373" t="s">
        <v>1241</v>
      </c>
      <c r="BM2" s="373" t="s">
        <v>1492</v>
      </c>
      <c r="BN2" s="373" t="s">
        <v>1491</v>
      </c>
      <c r="BO2" s="373" t="s">
        <v>1242</v>
      </c>
      <c r="BP2" s="373" t="s">
        <v>1243</v>
      </c>
      <c r="BQ2" s="373" t="s">
        <v>1244</v>
      </c>
      <c r="BR2" s="373" t="s">
        <v>1245</v>
      </c>
      <c r="BS2" s="373" t="s">
        <v>1246</v>
      </c>
      <c r="BT2" s="373" t="s">
        <v>1247</v>
      </c>
      <c r="BU2" s="373" t="s">
        <v>1248</v>
      </c>
      <c r="BV2" s="373" t="s">
        <v>1249</v>
      </c>
      <c r="BW2" s="416" t="s">
        <v>1514</v>
      </c>
      <c r="BX2" s="416" t="s">
        <v>1515</v>
      </c>
      <c r="BY2" s="416" t="s">
        <v>1516</v>
      </c>
      <c r="BZ2" s="416" t="s">
        <v>1517</v>
      </c>
      <c r="CA2" s="416" t="s">
        <v>1518</v>
      </c>
      <c r="CB2" s="416" t="s">
        <v>1519</v>
      </c>
      <c r="CC2" s="416" t="s">
        <v>1520</v>
      </c>
    </row>
    <row r="3" spans="1:81" s="104" customFormat="1" x14ac:dyDescent="0.2">
      <c r="A3" s="102"/>
      <c r="B3" s="103" t="s">
        <v>190</v>
      </c>
      <c r="C3" s="105">
        <f t="shared" ref="C3:AJ3" si="0">ROUND(SUMIF($A$4:$A$131,"Y",C$4:C$131),1)</f>
        <v>25</v>
      </c>
      <c r="D3" s="105">
        <f t="shared" si="0"/>
        <v>34.799999999999997</v>
      </c>
      <c r="E3" s="567">
        <f t="shared" si="0"/>
        <v>862</v>
      </c>
      <c r="F3" s="105">
        <f t="shared" si="0"/>
        <v>0</v>
      </c>
      <c r="G3" s="105">
        <f t="shared" si="0"/>
        <v>-2</v>
      </c>
      <c r="H3" s="105">
        <f t="shared" si="0"/>
        <v>-1</v>
      </c>
      <c r="I3" s="105">
        <f t="shared" si="0"/>
        <v>0</v>
      </c>
      <c r="J3" s="105">
        <f t="shared" si="0"/>
        <v>0</v>
      </c>
      <c r="K3" s="105">
        <f t="shared" si="0"/>
        <v>0</v>
      </c>
      <c r="L3" s="105">
        <f t="shared" si="0"/>
        <v>0</v>
      </c>
      <c r="M3" s="105">
        <f t="shared" si="0"/>
        <v>0</v>
      </c>
      <c r="N3" s="105">
        <f t="shared" si="0"/>
        <v>0</v>
      </c>
      <c r="O3" s="105">
        <f t="shared" si="0"/>
        <v>0</v>
      </c>
      <c r="P3" s="105">
        <f>ROUND(SUMIF($A$4:$A$131,"Y",P$4:P$131),1)</f>
        <v>0</v>
      </c>
      <c r="Q3" s="105">
        <f>ROUND(SUMIF($A$4:$A$131,"Y",Q$4:Q$131),1)</f>
        <v>0</v>
      </c>
      <c r="R3" s="105">
        <f>ROUND(SUMIF($A$4:$A$131,"Y",R$4:R$131),1)</f>
        <v>0</v>
      </c>
      <c r="S3" s="105">
        <f>ROUND(SUMIF($A$4:$A$131,"Y",S$4:S$131),1)</f>
        <v>0</v>
      </c>
      <c r="T3" s="105">
        <f t="shared" si="0"/>
        <v>20</v>
      </c>
      <c r="U3" s="105">
        <f t="shared" si="0"/>
        <v>0</v>
      </c>
      <c r="V3" s="105">
        <f t="shared" si="0"/>
        <v>0</v>
      </c>
      <c r="W3" s="105">
        <f t="shared" si="0"/>
        <v>0</v>
      </c>
      <c r="X3" s="105">
        <f t="shared" si="0"/>
        <v>0</v>
      </c>
      <c r="Y3" s="105">
        <f t="shared" si="0"/>
        <v>0</v>
      </c>
      <c r="Z3" s="105">
        <f t="shared" si="0"/>
        <v>0</v>
      </c>
      <c r="AA3" s="105">
        <f>ROUND(SUMIF($A$4:$A$131,"Y",AA$4:AA$131),1)</f>
        <v>0</v>
      </c>
      <c r="AB3" s="105">
        <f t="shared" si="0"/>
        <v>0</v>
      </c>
      <c r="AC3" s="105">
        <f t="shared" si="0"/>
        <v>0</v>
      </c>
      <c r="AD3" s="105">
        <f t="shared" si="0"/>
        <v>0</v>
      </c>
      <c r="AE3" s="105">
        <f t="shared" si="0"/>
        <v>0</v>
      </c>
      <c r="AF3" s="105">
        <f t="shared" si="0"/>
        <v>0</v>
      </c>
      <c r="AG3" s="105">
        <f t="shared" si="0"/>
        <v>0</v>
      </c>
      <c r="AH3" s="105">
        <f t="shared" si="0"/>
        <v>0</v>
      </c>
      <c r="AI3" s="105">
        <f t="shared" si="0"/>
        <v>0</v>
      </c>
      <c r="AJ3" s="105">
        <f t="shared" si="0"/>
        <v>0</v>
      </c>
      <c r="AK3" s="105">
        <f t="shared" ref="AK3:CC3" si="1">ROUND(SUMIF($A$4:$A$131,"Y",AK$4:AK$131),1)</f>
        <v>0</v>
      </c>
      <c r="AL3" s="105">
        <f t="shared" si="1"/>
        <v>0</v>
      </c>
      <c r="AM3" s="105">
        <f t="shared" si="1"/>
        <v>0</v>
      </c>
      <c r="AN3" s="105">
        <f t="shared" si="1"/>
        <v>5</v>
      </c>
      <c r="AO3" s="105">
        <f t="shared" si="1"/>
        <v>0</v>
      </c>
      <c r="AP3" s="105">
        <f t="shared" si="1"/>
        <v>0</v>
      </c>
      <c r="AQ3" s="105">
        <f t="shared" si="1"/>
        <v>0</v>
      </c>
      <c r="AR3" s="105">
        <f t="shared" si="1"/>
        <v>0</v>
      </c>
      <c r="AS3" s="105">
        <f t="shared" si="1"/>
        <v>0</v>
      </c>
      <c r="AT3" s="105">
        <f t="shared" si="1"/>
        <v>0</v>
      </c>
      <c r="AU3" s="105">
        <f t="shared" si="1"/>
        <v>0</v>
      </c>
      <c r="AV3" s="105">
        <f t="shared" si="1"/>
        <v>0</v>
      </c>
      <c r="AW3" s="105">
        <f t="shared" si="1"/>
        <v>0</v>
      </c>
      <c r="AX3" s="105">
        <f t="shared" si="1"/>
        <v>0</v>
      </c>
      <c r="AY3" s="105">
        <f t="shared" si="1"/>
        <v>0</v>
      </c>
      <c r="AZ3" s="105">
        <f t="shared" si="1"/>
        <v>0</v>
      </c>
      <c r="BA3" s="105">
        <f t="shared" si="1"/>
        <v>0</v>
      </c>
      <c r="BB3" s="105">
        <f t="shared" si="1"/>
        <v>0</v>
      </c>
      <c r="BC3" s="105">
        <f t="shared" si="1"/>
        <v>0</v>
      </c>
      <c r="BD3" s="105">
        <f t="shared" si="1"/>
        <v>0</v>
      </c>
      <c r="BE3" s="105">
        <f t="shared" si="1"/>
        <v>0</v>
      </c>
      <c r="BF3" s="105">
        <f t="shared" si="1"/>
        <v>0</v>
      </c>
      <c r="BG3" s="105">
        <f t="shared" si="1"/>
        <v>0</v>
      </c>
      <c r="BH3" s="105">
        <f t="shared" si="1"/>
        <v>0</v>
      </c>
      <c r="BI3" s="105">
        <f t="shared" si="1"/>
        <v>0</v>
      </c>
      <c r="BJ3" s="105">
        <f t="shared" si="1"/>
        <v>0</v>
      </c>
      <c r="BK3" s="105">
        <f t="shared" si="1"/>
        <v>0</v>
      </c>
      <c r="BL3" s="105">
        <f t="shared" si="1"/>
        <v>0</v>
      </c>
      <c r="BM3" s="105">
        <f t="shared" si="1"/>
        <v>0</v>
      </c>
      <c r="BN3" s="105">
        <f t="shared" si="1"/>
        <v>0</v>
      </c>
      <c r="BO3" s="105">
        <f t="shared" si="1"/>
        <v>0</v>
      </c>
      <c r="BP3" s="105">
        <f t="shared" si="1"/>
        <v>0</v>
      </c>
      <c r="BQ3" s="105">
        <f t="shared" si="1"/>
        <v>0</v>
      </c>
      <c r="BR3" s="105">
        <f t="shared" si="1"/>
        <v>0</v>
      </c>
      <c r="BS3" s="105">
        <f t="shared" si="1"/>
        <v>0</v>
      </c>
      <c r="BT3" s="105">
        <f t="shared" si="1"/>
        <v>0</v>
      </c>
      <c r="BU3" s="105">
        <f t="shared" si="1"/>
        <v>0</v>
      </c>
      <c r="BV3" s="105">
        <f t="shared" si="1"/>
        <v>0</v>
      </c>
      <c r="BW3" s="566">
        <f t="shared" si="1"/>
        <v>0</v>
      </c>
      <c r="BX3" s="566">
        <f t="shared" si="1"/>
        <v>0</v>
      </c>
      <c r="BY3" s="566">
        <f t="shared" si="1"/>
        <v>0</v>
      </c>
      <c r="BZ3" s="566">
        <f t="shared" si="1"/>
        <v>0</v>
      </c>
      <c r="CA3" s="566">
        <f t="shared" si="1"/>
        <v>0</v>
      </c>
      <c r="CB3" s="566">
        <f t="shared" si="1"/>
        <v>0</v>
      </c>
      <c r="CC3" s="566">
        <f t="shared" si="1"/>
        <v>0</v>
      </c>
    </row>
    <row r="4" spans="1:81" x14ac:dyDescent="0.2">
      <c r="A4" s="30" t="s">
        <v>274</v>
      </c>
      <c r="B4" s="106" t="s">
        <v>141</v>
      </c>
      <c r="F4" s="30"/>
      <c r="G4" s="30"/>
      <c r="H4" s="30"/>
      <c r="I4" s="30"/>
      <c r="J4" s="30"/>
      <c r="K4" s="30"/>
      <c r="L4" s="30"/>
      <c r="M4" s="30"/>
      <c r="N4" s="30">
        <f>VLOOKUP(Setup!$B$3,Setup!$A$30:$N$37,11,FALSE)</f>
        <v>0</v>
      </c>
      <c r="O4" s="30"/>
      <c r="P4" s="30"/>
      <c r="Q4" s="30"/>
      <c r="R4" s="30"/>
      <c r="S4" s="30"/>
      <c r="T4" s="30">
        <f>VLOOKUP(Setup!$B$3,Setup!$A$30:$N$37,12,FALSE)</f>
        <v>0</v>
      </c>
      <c r="U4" s="30"/>
      <c r="V4" s="30"/>
      <c r="W4" s="30"/>
      <c r="X4" s="30"/>
      <c r="Y4" s="30"/>
      <c r="Z4" s="30"/>
      <c r="AA4" s="30"/>
      <c r="AB4" s="30"/>
      <c r="AC4" s="30"/>
      <c r="AD4" s="30">
        <f>VLOOKUP(Setup!$B$3,Setup!$A$30:$Q$37,17,FALSE)</f>
        <v>0</v>
      </c>
      <c r="AI4" s="30"/>
      <c r="AJ4" s="30"/>
      <c r="AK4" s="30"/>
      <c r="AL4" s="30"/>
      <c r="AM4" s="30"/>
      <c r="AN4" s="30">
        <f>VLOOKUP(Setup!$B$3,Setup!$A$30:$N$37,13,FALSE)</f>
        <v>0</v>
      </c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4"/>
      <c r="BB4" s="4"/>
      <c r="BC4" s="4"/>
      <c r="BD4" s="4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</row>
    <row r="5" spans="1:81" x14ac:dyDescent="0.2">
      <c r="A5" s="30" t="s">
        <v>274</v>
      </c>
      <c r="B5" s="106" t="s">
        <v>133</v>
      </c>
      <c r="F5" s="30"/>
      <c r="G5" s="30"/>
      <c r="H5" s="30"/>
      <c r="I5" s="101">
        <f>TRUNC(MAX(SUMIF(Magic!B:B,"Purification",Magic!K:K),0)/5,0)</f>
        <v>0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101">
        <f>IF(Setup!B4="",20,MAX(SUMIF(Magic!B:B,"Purification",Magic!K:K),0))</f>
        <v>20</v>
      </c>
      <c r="U5" s="30"/>
      <c r="V5" s="30"/>
      <c r="W5" s="30"/>
      <c r="X5" s="30"/>
      <c r="Y5" s="30"/>
      <c r="Z5" s="30"/>
      <c r="AA5" s="30"/>
      <c r="AB5" s="30"/>
      <c r="AC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4"/>
      <c r="BB5" s="4"/>
      <c r="BC5" s="4"/>
      <c r="BD5" s="4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81" x14ac:dyDescent="0.2">
      <c r="A6" s="30" t="s">
        <v>274</v>
      </c>
      <c r="B6" s="106" t="s">
        <v>140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4"/>
      <c r="BB6" s="4"/>
      <c r="BC6" s="4"/>
      <c r="BD6" s="4"/>
      <c r="BE6" s="4"/>
      <c r="BF6" s="4"/>
      <c r="BG6" s="4"/>
      <c r="BH6" s="4"/>
      <c r="BI6" s="4"/>
      <c r="BJ6" s="4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81" x14ac:dyDescent="0.2">
      <c r="A7" s="30" t="s">
        <v>274</v>
      </c>
      <c r="B7" s="106" t="s">
        <v>126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117"/>
      <c r="Q7" s="117"/>
      <c r="R7" s="117"/>
      <c r="S7" s="117"/>
      <c r="T7" s="101">
        <f>S7</f>
        <v>0</v>
      </c>
      <c r="U7" s="30"/>
      <c r="V7" s="30"/>
      <c r="W7" s="30"/>
      <c r="X7" s="30"/>
      <c r="Y7" s="30"/>
      <c r="Z7" s="30"/>
      <c r="AA7" s="30"/>
      <c r="AB7" s="30"/>
      <c r="AC7" s="30"/>
      <c r="AI7" s="30"/>
      <c r="AJ7" s="30"/>
      <c r="AK7" s="101">
        <f>P7</f>
        <v>0</v>
      </c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4"/>
      <c r="BB7" s="4"/>
      <c r="BC7" s="4"/>
      <c r="BD7" s="4"/>
      <c r="BO7" s="101">
        <f>Q7</f>
        <v>0</v>
      </c>
      <c r="BP7" s="101">
        <f>Q7</f>
        <v>0</v>
      </c>
      <c r="BQ7" s="101">
        <f>Q7</f>
        <v>0</v>
      </c>
      <c r="BR7" s="30"/>
      <c r="BS7" s="30"/>
      <c r="BT7" s="30"/>
      <c r="BU7" s="30"/>
      <c r="BV7" s="30"/>
      <c r="BW7" s="101">
        <f>$R7</f>
        <v>0</v>
      </c>
      <c r="BX7" s="101">
        <f t="shared" ref="BX7:CC7" si="2">$R7</f>
        <v>0</v>
      </c>
      <c r="BY7" s="101">
        <f t="shared" si="2"/>
        <v>0</v>
      </c>
      <c r="BZ7" s="101">
        <f t="shared" si="2"/>
        <v>0</v>
      </c>
      <c r="CA7" s="101">
        <f t="shared" si="2"/>
        <v>0</v>
      </c>
      <c r="CB7" s="101">
        <f t="shared" si="2"/>
        <v>0</v>
      </c>
      <c r="CC7" s="101">
        <f t="shared" si="2"/>
        <v>0</v>
      </c>
    </row>
    <row r="8" spans="1:81" x14ac:dyDescent="0.2">
      <c r="A8" s="30" t="s">
        <v>274</v>
      </c>
      <c r="B8" s="106" t="s">
        <v>275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4"/>
      <c r="BB8" s="4"/>
      <c r="BC8" s="4"/>
      <c r="BD8" s="4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</row>
    <row r="9" spans="1:81" x14ac:dyDescent="0.2">
      <c r="A9" s="754" t="str">
        <f>Combat!$V$4</f>
        <v>Y</v>
      </c>
      <c r="B9" s="106" t="str">
        <f>"Equipped Shield: "&amp;Combat!$Q$4</f>
        <v>Equipped Shield: Small Round</v>
      </c>
      <c r="C9" s="4">
        <f>Combat!$T$4</f>
        <v>5</v>
      </c>
      <c r="F9" s="30"/>
      <c r="G9" s="30">
        <f>Combat!$U$4</f>
        <v>-2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4"/>
      <c r="BB9" s="4"/>
      <c r="BC9" s="4"/>
      <c r="BD9" s="4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</row>
    <row r="10" spans="1:81" x14ac:dyDescent="0.2">
      <c r="A10" s="117" t="s">
        <v>274</v>
      </c>
      <c r="B10" s="292" t="s">
        <v>1451</v>
      </c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I10" s="30"/>
      <c r="AJ10" s="30"/>
      <c r="AK10" s="30"/>
      <c r="AL10" s="30"/>
      <c r="AM10" s="117"/>
      <c r="AN10" s="117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4"/>
      <c r="BB10" s="4"/>
      <c r="BC10" s="4"/>
      <c r="BD10" s="4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</row>
    <row r="11" spans="1:81" x14ac:dyDescent="0.2">
      <c r="A11" s="117"/>
      <c r="B11" s="292" t="s">
        <v>1183</v>
      </c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4"/>
      <c r="BB11" s="4"/>
      <c r="BC11" s="4"/>
      <c r="BD11" s="4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</row>
    <row r="12" spans="1:81" x14ac:dyDescent="0.2">
      <c r="A12" s="117"/>
      <c r="B12" s="292" t="s">
        <v>1184</v>
      </c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4"/>
      <c r="BB12" s="4"/>
      <c r="BC12" s="4"/>
      <c r="BD12" s="4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</row>
    <row r="13" spans="1:81" x14ac:dyDescent="0.2">
      <c r="A13" s="117"/>
      <c r="B13" s="292" t="s">
        <v>1184</v>
      </c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4"/>
      <c r="BB13" s="4"/>
      <c r="BC13" s="4"/>
      <c r="BD13" s="4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</row>
    <row r="14" spans="1:81" x14ac:dyDescent="0.2">
      <c r="A14" s="117"/>
      <c r="B14" s="292" t="s">
        <v>1184</v>
      </c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4"/>
      <c r="BB14" s="4"/>
      <c r="BC14" s="4"/>
      <c r="BD14" s="4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</row>
    <row r="15" spans="1:81" x14ac:dyDescent="0.2">
      <c r="A15" s="30"/>
      <c r="B15" s="291" t="s">
        <v>1182</v>
      </c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4"/>
      <c r="BB15" s="4"/>
      <c r="BC15" s="4"/>
      <c r="BD15" s="4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</row>
    <row r="16" spans="1:81" x14ac:dyDescent="0.2">
      <c r="A16" s="117" t="s">
        <v>274</v>
      </c>
      <c r="B16" s="166" t="s">
        <v>1169</v>
      </c>
      <c r="C16" s="384">
        <f>3*Setup!$B$12</f>
        <v>18</v>
      </c>
      <c r="D16" s="385"/>
      <c r="E16" s="556">
        <v>250</v>
      </c>
      <c r="F16" s="30"/>
      <c r="G16" s="30"/>
      <c r="H16" s="573">
        <v>-1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574">
        <v>0</v>
      </c>
      <c r="AI16" s="30"/>
      <c r="AJ16" s="30"/>
      <c r="AK16" s="30"/>
      <c r="AL16" s="30"/>
      <c r="AM16" s="30"/>
      <c r="AN16" s="573">
        <v>5</v>
      </c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4"/>
      <c r="BB16" s="4"/>
      <c r="BC16" s="4"/>
      <c r="BD16" s="4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</row>
    <row r="17" spans="1:81" x14ac:dyDescent="0.2">
      <c r="A17" s="117" t="s">
        <v>274</v>
      </c>
      <c r="B17" s="167" t="s">
        <v>1452</v>
      </c>
      <c r="C17" s="386"/>
      <c r="D17" s="387"/>
      <c r="E17" s="556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4"/>
      <c r="BB17" s="4"/>
      <c r="BC17" s="4"/>
      <c r="BD17" s="4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</row>
    <row r="18" spans="1:81" x14ac:dyDescent="0.2">
      <c r="A18" s="117" t="s">
        <v>274</v>
      </c>
      <c r="B18" s="167" t="s">
        <v>1453</v>
      </c>
      <c r="C18" s="386"/>
      <c r="D18" s="387"/>
      <c r="E18" s="556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4"/>
      <c r="BB18" s="4"/>
      <c r="BC18" s="4"/>
      <c r="BD18" s="4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</row>
    <row r="19" spans="1:81" x14ac:dyDescent="0.2">
      <c r="A19" s="117" t="s">
        <v>274</v>
      </c>
      <c r="B19" s="167"/>
      <c r="C19" s="386"/>
      <c r="D19" s="387"/>
      <c r="E19" s="556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4"/>
      <c r="BB19" s="4"/>
      <c r="BC19" s="4"/>
      <c r="BD19" s="4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</row>
    <row r="20" spans="1:81" x14ac:dyDescent="0.2">
      <c r="A20" s="117" t="s">
        <v>274</v>
      </c>
      <c r="B20" s="167"/>
      <c r="C20" s="386"/>
      <c r="D20" s="387"/>
      <c r="E20" s="556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4"/>
      <c r="BB20" s="4"/>
      <c r="BC20" s="4"/>
      <c r="BD20" s="4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</row>
    <row r="21" spans="1:81" x14ac:dyDescent="0.2">
      <c r="A21" s="117" t="s">
        <v>274</v>
      </c>
      <c r="B21" s="167"/>
      <c r="C21" s="386"/>
      <c r="D21" s="387"/>
      <c r="E21" s="556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4"/>
      <c r="BB21" s="4"/>
      <c r="BC21" s="4"/>
      <c r="BD21" s="4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</row>
    <row r="22" spans="1:81" x14ac:dyDescent="0.2">
      <c r="A22" s="117" t="s">
        <v>274</v>
      </c>
      <c r="B22" s="167"/>
      <c r="C22" s="386"/>
      <c r="D22" s="387"/>
      <c r="E22" s="556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4"/>
      <c r="BB22" s="4"/>
      <c r="BC22" s="4"/>
      <c r="BD22" s="4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</row>
    <row r="23" spans="1:81" x14ac:dyDescent="0.2">
      <c r="A23" s="117" t="s">
        <v>274</v>
      </c>
      <c r="B23" s="167"/>
      <c r="C23" s="386"/>
      <c r="D23" s="387"/>
      <c r="E23" s="556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4"/>
      <c r="BB23" s="4"/>
      <c r="BC23" s="4"/>
      <c r="BD23" s="4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</row>
    <row r="24" spans="1:81" x14ac:dyDescent="0.2">
      <c r="A24" s="117" t="s">
        <v>274</v>
      </c>
      <c r="B24" s="167"/>
      <c r="C24" s="386"/>
      <c r="D24" s="387"/>
      <c r="E24" s="556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4"/>
      <c r="BB24" s="4"/>
      <c r="BC24" s="4"/>
      <c r="BD24" s="4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</row>
    <row r="25" spans="1:81" x14ac:dyDescent="0.2">
      <c r="A25" s="117" t="s">
        <v>274</v>
      </c>
      <c r="B25" s="167"/>
      <c r="C25" s="386"/>
      <c r="D25" s="387"/>
      <c r="E25" s="556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4"/>
      <c r="BB25" s="4"/>
      <c r="BC25" s="4"/>
      <c r="BD25" s="4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</row>
    <row r="26" spans="1:81" x14ac:dyDescent="0.2">
      <c r="A26" s="117" t="s">
        <v>274</v>
      </c>
      <c r="B26" s="167"/>
      <c r="C26" s="386"/>
      <c r="D26" s="387"/>
      <c r="E26" s="556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4"/>
      <c r="BB26" s="4"/>
      <c r="BC26" s="4"/>
      <c r="BD26" s="4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</row>
    <row r="27" spans="1:81" x14ac:dyDescent="0.2">
      <c r="A27" s="117" t="s">
        <v>274</v>
      </c>
      <c r="B27" s="167"/>
      <c r="C27" s="386"/>
      <c r="D27" s="387"/>
      <c r="E27" s="556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4"/>
      <c r="BB27" s="4"/>
      <c r="BC27" s="4"/>
      <c r="BD27" s="4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</row>
    <row r="28" spans="1:81" x14ac:dyDescent="0.2">
      <c r="A28" s="117" t="s">
        <v>274</v>
      </c>
      <c r="B28" s="167"/>
      <c r="C28" s="386"/>
      <c r="D28" s="387"/>
      <c r="E28" s="556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4"/>
      <c r="BB28" s="4"/>
      <c r="BC28" s="4"/>
      <c r="BD28" s="4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</row>
    <row r="29" spans="1:81" x14ac:dyDescent="0.2">
      <c r="A29" s="117" t="s">
        <v>274</v>
      </c>
      <c r="B29" s="167"/>
      <c r="C29" s="386"/>
      <c r="D29" s="387"/>
      <c r="E29" s="556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4"/>
      <c r="BB29" s="4"/>
      <c r="BC29" s="4"/>
      <c r="BD29" s="4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</row>
    <row r="30" spans="1:81" x14ac:dyDescent="0.2">
      <c r="A30" s="117" t="s">
        <v>274</v>
      </c>
      <c r="B30" s="167"/>
      <c r="C30" s="386"/>
      <c r="D30" s="387"/>
      <c r="E30" s="556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4"/>
      <c r="BB30" s="4"/>
      <c r="BC30" s="4"/>
      <c r="BD30" s="4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</row>
    <row r="31" spans="1:81" x14ac:dyDescent="0.2">
      <c r="A31" s="117" t="s">
        <v>274</v>
      </c>
      <c r="B31" s="167"/>
      <c r="C31" s="386"/>
      <c r="D31" s="387"/>
      <c r="E31" s="556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4"/>
      <c r="BB31" s="4"/>
      <c r="BC31" s="4"/>
      <c r="BD31" s="4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</row>
    <row r="32" spans="1:81" x14ac:dyDescent="0.2">
      <c r="A32" s="117" t="s">
        <v>274</v>
      </c>
      <c r="B32" s="167"/>
      <c r="C32" s="386"/>
      <c r="D32" s="387"/>
      <c r="E32" s="556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4"/>
      <c r="BB32" s="4"/>
      <c r="BC32" s="4"/>
      <c r="BD32" s="4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</row>
    <row r="33" spans="1:81" x14ac:dyDescent="0.2">
      <c r="A33" s="117" t="s">
        <v>274</v>
      </c>
      <c r="B33" s="167"/>
      <c r="C33" s="386"/>
      <c r="D33" s="387"/>
      <c r="E33" s="556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4"/>
      <c r="BB33" s="4"/>
      <c r="BC33" s="4"/>
      <c r="BD33" s="4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</row>
    <row r="34" spans="1:81" x14ac:dyDescent="0.2">
      <c r="A34" s="541"/>
      <c r="B34" s="542" t="str">
        <f>COUNTIF(A118:A131,"Y")&amp;" Wiccan Amulets"</f>
        <v>0 Wiccan Amulets</v>
      </c>
      <c r="C34" s="543">
        <f>SUMIF($A118:$A131,"Y",C118:C131)</f>
        <v>0</v>
      </c>
      <c r="D34" s="543">
        <f>SUMIF($A118:$A131,"Y",D118:D131)</f>
        <v>0</v>
      </c>
      <c r="E34" s="557">
        <f>SUMIF($A118:$A131,"Y",E118:E131)</f>
        <v>0</v>
      </c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4"/>
      <c r="BB34" s="4"/>
      <c r="BC34" s="4"/>
      <c r="BD34" s="4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</row>
    <row r="35" spans="1:81" x14ac:dyDescent="0.2">
      <c r="A35" s="117" t="s">
        <v>274</v>
      </c>
      <c r="B35" s="167"/>
      <c r="C35" s="386"/>
      <c r="D35" s="387"/>
      <c r="E35" s="556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4"/>
      <c r="BB35" s="4"/>
      <c r="BC35" s="4"/>
      <c r="BD35" s="4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</row>
    <row r="36" spans="1:81" x14ac:dyDescent="0.2">
      <c r="A36" s="117" t="s">
        <v>274</v>
      </c>
      <c r="B36" s="167"/>
      <c r="C36" s="386"/>
      <c r="D36" s="387"/>
      <c r="E36" s="556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4"/>
      <c r="BB36" s="4"/>
      <c r="BC36" s="4"/>
      <c r="BD36" s="4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</row>
    <row r="37" spans="1:81" x14ac:dyDescent="0.2">
      <c r="A37" s="117" t="s">
        <v>274</v>
      </c>
      <c r="B37" s="168" t="s">
        <v>1267</v>
      </c>
      <c r="C37" s="386"/>
      <c r="D37" s="387"/>
      <c r="E37" s="556"/>
      <c r="AM37" s="4"/>
      <c r="AN37" s="4"/>
      <c r="AO37" s="4"/>
      <c r="AP37" s="4"/>
      <c r="AQ37" s="4"/>
      <c r="BA37" s="4"/>
      <c r="BB37" s="4"/>
      <c r="BC37" s="4"/>
      <c r="BD37" s="4"/>
    </row>
    <row r="38" spans="1:81" x14ac:dyDescent="0.2">
      <c r="A38" s="117" t="s">
        <v>274</v>
      </c>
      <c r="B38" s="167" t="s">
        <v>1262</v>
      </c>
      <c r="C38" s="386">
        <v>1</v>
      </c>
      <c r="D38" s="387"/>
      <c r="E38" s="556">
        <f>10*10</f>
        <v>100</v>
      </c>
      <c r="AM38" s="4"/>
      <c r="AN38" s="4"/>
      <c r="AO38" s="4"/>
      <c r="AP38" s="4"/>
      <c r="AQ38" s="4"/>
      <c r="BA38" s="4"/>
      <c r="BB38" s="4"/>
      <c r="BC38" s="4"/>
      <c r="BD38" s="4"/>
    </row>
    <row r="39" spans="1:81" x14ac:dyDescent="0.2">
      <c r="A39" s="117" t="s">
        <v>274</v>
      </c>
      <c r="B39" s="167" t="s">
        <v>1261</v>
      </c>
      <c r="C39" s="386">
        <f>0.5*2</f>
        <v>1</v>
      </c>
      <c r="D39" s="387"/>
      <c r="E39" s="556">
        <f>200*2</f>
        <v>400</v>
      </c>
      <c r="AM39" s="4"/>
      <c r="AN39" s="4"/>
      <c r="AO39" s="4"/>
      <c r="AP39" s="4"/>
      <c r="AQ39" s="4"/>
      <c r="BA39" s="4"/>
      <c r="BB39" s="4"/>
      <c r="BC39" s="4"/>
      <c r="BD39" s="4"/>
    </row>
    <row r="40" spans="1:81" x14ac:dyDescent="0.2">
      <c r="A40" s="117" t="s">
        <v>274</v>
      </c>
      <c r="B40" s="167" t="s">
        <v>1255</v>
      </c>
      <c r="C40" s="386"/>
      <c r="D40" s="387">
        <v>2</v>
      </c>
      <c r="E40" s="556">
        <v>6</v>
      </c>
      <c r="AM40" s="4"/>
      <c r="AN40" s="4"/>
      <c r="AO40" s="4"/>
      <c r="AP40" s="4"/>
      <c r="AQ40" s="4"/>
      <c r="BA40" s="4"/>
      <c r="BB40" s="4"/>
      <c r="BC40" s="4"/>
      <c r="BD40" s="4"/>
    </row>
    <row r="41" spans="1:81" x14ac:dyDescent="0.2">
      <c r="A41" s="117" t="s">
        <v>274</v>
      </c>
      <c r="B41" s="167" t="s">
        <v>1256</v>
      </c>
      <c r="C41" s="386"/>
      <c r="D41" s="387">
        <v>3</v>
      </c>
      <c r="E41" s="556">
        <v>10</v>
      </c>
      <c r="AM41" s="4"/>
      <c r="AN41" s="4"/>
      <c r="AO41" s="4"/>
      <c r="AP41" s="4"/>
      <c r="AQ41" s="4"/>
      <c r="BA41" s="4"/>
      <c r="BB41" s="4"/>
      <c r="BC41" s="4"/>
      <c r="BD41" s="4"/>
    </row>
    <row r="42" spans="1:81" x14ac:dyDescent="0.2">
      <c r="A42" s="117" t="s">
        <v>274</v>
      </c>
      <c r="B42" s="167" t="s">
        <v>1257</v>
      </c>
      <c r="C42" s="386"/>
      <c r="D42" s="387">
        <v>2</v>
      </c>
      <c r="E42" s="556">
        <v>25</v>
      </c>
      <c r="AM42" s="4"/>
      <c r="AN42" s="4"/>
      <c r="AO42" s="4"/>
      <c r="AP42" s="4"/>
      <c r="AQ42" s="4"/>
      <c r="BA42" s="4"/>
      <c r="BB42" s="4"/>
      <c r="BC42" s="4"/>
      <c r="BD42" s="4"/>
    </row>
    <row r="43" spans="1:81" x14ac:dyDescent="0.2">
      <c r="A43" s="117" t="s">
        <v>274</v>
      </c>
      <c r="B43" s="167" t="s">
        <v>1258</v>
      </c>
      <c r="C43" s="386"/>
      <c r="D43" s="387">
        <v>0.5</v>
      </c>
      <c r="E43" s="556">
        <v>3</v>
      </c>
      <c r="AM43" s="4"/>
      <c r="AN43" s="4"/>
      <c r="AO43" s="4"/>
      <c r="AP43" s="4"/>
      <c r="AQ43" s="4"/>
      <c r="BA43" s="4"/>
      <c r="BB43" s="4"/>
      <c r="BC43" s="4"/>
      <c r="BD43" s="4"/>
    </row>
    <row r="44" spans="1:81" x14ac:dyDescent="0.2">
      <c r="A44" s="117" t="s">
        <v>274</v>
      </c>
      <c r="B44" s="167" t="s">
        <v>43</v>
      </c>
      <c r="C44" s="386"/>
      <c r="D44" s="387">
        <v>2</v>
      </c>
      <c r="E44" s="556">
        <v>15</v>
      </c>
      <c r="AM44" s="4"/>
      <c r="AN44" s="4"/>
      <c r="AO44" s="4"/>
      <c r="AP44" s="4"/>
      <c r="AQ44" s="4"/>
      <c r="BA44" s="4"/>
      <c r="BB44" s="4"/>
      <c r="BC44" s="4"/>
      <c r="BD44" s="4"/>
    </row>
    <row r="45" spans="1:81" x14ac:dyDescent="0.2">
      <c r="A45" s="117" t="s">
        <v>274</v>
      </c>
      <c r="B45" s="167" t="s">
        <v>1259</v>
      </c>
      <c r="C45" s="386"/>
      <c r="D45" s="387">
        <v>2</v>
      </c>
      <c r="E45" s="556">
        <v>9</v>
      </c>
      <c r="AM45" s="4"/>
      <c r="AN45" s="4"/>
      <c r="AO45" s="4"/>
      <c r="AP45" s="4"/>
      <c r="AQ45" s="4"/>
      <c r="BA45" s="4"/>
      <c r="BB45" s="4"/>
      <c r="BC45" s="4"/>
      <c r="BD45" s="4"/>
    </row>
    <row r="46" spans="1:81" x14ac:dyDescent="0.2">
      <c r="A46" s="117" t="s">
        <v>274</v>
      </c>
      <c r="B46" s="167" t="s">
        <v>1260</v>
      </c>
      <c r="C46" s="386"/>
      <c r="D46" s="387">
        <v>9</v>
      </c>
      <c r="E46" s="556">
        <v>8</v>
      </c>
      <c r="AM46" s="4"/>
      <c r="AN46" s="4"/>
      <c r="AO46" s="4"/>
      <c r="AP46" s="4"/>
      <c r="AQ46" s="4"/>
      <c r="BA46" s="4"/>
      <c r="BB46" s="4"/>
      <c r="BC46" s="4"/>
      <c r="BD46" s="4"/>
    </row>
    <row r="47" spans="1:81" x14ac:dyDescent="0.2">
      <c r="A47" s="117" t="s">
        <v>274</v>
      </c>
      <c r="B47" s="167" t="s">
        <v>1495</v>
      </c>
      <c r="C47" s="386"/>
      <c r="D47" s="387">
        <f>12*3/16</f>
        <v>2.25</v>
      </c>
      <c r="E47" s="556">
        <f>12*0.5</f>
        <v>6</v>
      </c>
      <c r="AM47" s="4"/>
      <c r="AN47" s="4"/>
      <c r="AO47" s="4"/>
      <c r="AP47" s="4"/>
      <c r="AQ47" s="4"/>
      <c r="BA47" s="4"/>
      <c r="BB47" s="4"/>
      <c r="BC47" s="4"/>
      <c r="BD47" s="4"/>
    </row>
    <row r="48" spans="1:81" x14ac:dyDescent="0.2">
      <c r="A48" s="117" t="s">
        <v>274</v>
      </c>
      <c r="B48" s="167" t="s">
        <v>1263</v>
      </c>
      <c r="C48" s="386"/>
      <c r="D48" s="387">
        <v>8</v>
      </c>
      <c r="E48" s="556">
        <v>12</v>
      </c>
      <c r="AM48" s="4"/>
      <c r="AN48" s="4"/>
      <c r="AO48" s="4"/>
      <c r="AP48" s="4"/>
      <c r="AQ48" s="4"/>
      <c r="BA48" s="4"/>
      <c r="BB48" s="4"/>
      <c r="BC48" s="4"/>
      <c r="BD48" s="4"/>
    </row>
    <row r="49" spans="1:56" x14ac:dyDescent="0.2">
      <c r="A49" s="117" t="s">
        <v>274</v>
      </c>
      <c r="B49" s="167" t="s">
        <v>1264</v>
      </c>
      <c r="C49" s="386"/>
      <c r="D49" s="387">
        <v>1</v>
      </c>
      <c r="E49" s="556">
        <v>3</v>
      </c>
      <c r="AM49" s="4"/>
      <c r="AN49" s="4"/>
      <c r="AO49" s="4"/>
      <c r="AP49" s="4"/>
      <c r="AQ49" s="4"/>
      <c r="BA49" s="4"/>
      <c r="BB49" s="4"/>
      <c r="BC49" s="4"/>
      <c r="BD49" s="4"/>
    </row>
    <row r="50" spans="1:56" x14ac:dyDescent="0.2">
      <c r="A50" s="117" t="s">
        <v>274</v>
      </c>
      <c r="B50" s="167" t="s">
        <v>1265</v>
      </c>
      <c r="C50" s="386"/>
      <c r="D50" s="387"/>
      <c r="E50" s="556">
        <v>12</v>
      </c>
      <c r="AM50" s="4"/>
      <c r="AN50" s="4"/>
      <c r="AO50" s="4"/>
      <c r="AP50" s="4"/>
      <c r="AQ50" s="4"/>
      <c r="BA50" s="4"/>
      <c r="BB50" s="4"/>
      <c r="BC50" s="4"/>
      <c r="BD50" s="4"/>
    </row>
    <row r="51" spans="1:56" x14ac:dyDescent="0.2">
      <c r="A51" s="117" t="s">
        <v>274</v>
      </c>
      <c r="B51" s="167" t="s">
        <v>1266</v>
      </c>
      <c r="C51" s="386"/>
      <c r="D51" s="387">
        <f>1*3</f>
        <v>3</v>
      </c>
      <c r="E51" s="556">
        <f>1*3</f>
        <v>3</v>
      </c>
      <c r="AM51" s="4"/>
      <c r="AN51" s="4"/>
      <c r="AO51" s="4"/>
      <c r="AP51" s="4"/>
      <c r="AQ51" s="4"/>
      <c r="BA51" s="4"/>
      <c r="BB51" s="4"/>
      <c r="BC51" s="4"/>
      <c r="BD51" s="4"/>
    </row>
    <row r="52" spans="1:56" x14ac:dyDescent="0.2">
      <c r="A52" s="117" t="s">
        <v>274</v>
      </c>
      <c r="B52" s="288"/>
      <c r="C52" s="388"/>
      <c r="D52" s="389"/>
      <c r="E52" s="556"/>
      <c r="AM52" s="4"/>
      <c r="AN52" s="4"/>
      <c r="AO52" s="4"/>
      <c r="AP52" s="4"/>
      <c r="AQ52" s="4"/>
      <c r="BA52" s="4"/>
      <c r="BB52" s="4"/>
      <c r="BC52" s="4"/>
      <c r="BD52" s="4"/>
    </row>
    <row r="53" spans="1:56" x14ac:dyDescent="0.2">
      <c r="A53" s="117" t="s">
        <v>274</v>
      </c>
      <c r="B53" s="289"/>
      <c r="C53" s="390"/>
      <c r="D53" s="391"/>
      <c r="E53" s="556"/>
      <c r="AM53" s="4"/>
      <c r="AN53" s="4"/>
      <c r="AO53" s="4"/>
      <c r="AP53" s="4"/>
      <c r="AQ53" s="4"/>
      <c r="BA53" s="4"/>
      <c r="BB53" s="4"/>
      <c r="BC53" s="4"/>
      <c r="BD53" s="4"/>
    </row>
    <row r="54" spans="1:56" x14ac:dyDescent="0.2">
      <c r="A54" s="117" t="s">
        <v>274</v>
      </c>
      <c r="B54" s="289"/>
      <c r="C54" s="390"/>
      <c r="D54" s="391"/>
      <c r="E54" s="556"/>
      <c r="AM54" s="4"/>
      <c r="AN54" s="4"/>
      <c r="AO54" s="4"/>
      <c r="AP54" s="4"/>
      <c r="AQ54" s="4"/>
      <c r="BA54" s="4"/>
      <c r="BB54" s="4"/>
      <c r="BC54" s="4"/>
      <c r="BD54" s="4"/>
    </row>
    <row r="55" spans="1:56" x14ac:dyDescent="0.2">
      <c r="A55" s="117" t="s">
        <v>274</v>
      </c>
      <c r="B55" s="289"/>
      <c r="C55" s="390"/>
      <c r="D55" s="391"/>
      <c r="E55" s="556"/>
      <c r="AM55" s="4"/>
      <c r="AN55" s="4"/>
      <c r="AO55" s="4"/>
      <c r="AP55" s="4"/>
      <c r="AQ55" s="4"/>
      <c r="BA55" s="4"/>
      <c r="BB55" s="4"/>
      <c r="BC55" s="4"/>
      <c r="BD55" s="4"/>
    </row>
    <row r="56" spans="1:56" x14ac:dyDescent="0.2">
      <c r="A56" s="117" t="s">
        <v>274</v>
      </c>
      <c r="B56" s="289"/>
      <c r="C56" s="390"/>
      <c r="D56" s="391"/>
      <c r="E56" s="556"/>
      <c r="AM56" s="4"/>
      <c r="AN56" s="4"/>
      <c r="AO56" s="4"/>
      <c r="AP56" s="4"/>
      <c r="AQ56" s="4"/>
      <c r="BA56" s="4"/>
      <c r="BB56" s="4"/>
      <c r="BC56" s="4"/>
      <c r="BD56" s="4"/>
    </row>
    <row r="57" spans="1:56" x14ac:dyDescent="0.2">
      <c r="A57" s="117" t="s">
        <v>274</v>
      </c>
      <c r="B57" s="289"/>
      <c r="C57" s="390"/>
      <c r="D57" s="391"/>
      <c r="E57" s="556"/>
      <c r="AM57" s="4"/>
      <c r="AN57" s="4"/>
      <c r="AO57" s="4"/>
      <c r="AP57" s="4"/>
      <c r="AQ57" s="4"/>
      <c r="BA57" s="4"/>
      <c r="BB57" s="4"/>
      <c r="BC57" s="4"/>
      <c r="BD57" s="4"/>
    </row>
    <row r="58" spans="1:56" x14ac:dyDescent="0.2">
      <c r="A58" s="117" t="s">
        <v>274</v>
      </c>
      <c r="B58" s="289"/>
      <c r="C58" s="390"/>
      <c r="D58" s="391"/>
      <c r="E58" s="556"/>
      <c r="AM58" s="4"/>
      <c r="AN58" s="4"/>
      <c r="AO58" s="4"/>
      <c r="AP58" s="4"/>
      <c r="AQ58" s="4"/>
      <c r="BA58" s="4"/>
      <c r="BB58" s="4"/>
      <c r="BC58" s="4"/>
      <c r="BD58" s="4"/>
    </row>
    <row r="59" spans="1:56" x14ac:dyDescent="0.2">
      <c r="A59" s="117" t="s">
        <v>274</v>
      </c>
      <c r="B59" s="289"/>
      <c r="C59" s="390"/>
      <c r="D59" s="391"/>
      <c r="E59" s="556"/>
      <c r="AM59" s="4"/>
      <c r="AN59" s="4"/>
      <c r="AO59" s="4"/>
      <c r="AP59" s="4"/>
      <c r="AQ59" s="4"/>
      <c r="BA59" s="4"/>
      <c r="BB59" s="4"/>
      <c r="BC59" s="4"/>
      <c r="BD59" s="4"/>
    </row>
    <row r="60" spans="1:56" x14ac:dyDescent="0.2">
      <c r="A60" s="117" t="s">
        <v>274</v>
      </c>
      <c r="B60" s="289"/>
      <c r="C60" s="390"/>
      <c r="D60" s="391"/>
      <c r="E60" s="556"/>
      <c r="AM60" s="4"/>
      <c r="AN60" s="4"/>
      <c r="AO60" s="4"/>
      <c r="AP60" s="4"/>
      <c r="AQ60" s="4"/>
      <c r="BA60" s="4"/>
      <c r="BB60" s="4"/>
      <c r="BC60" s="4"/>
      <c r="BD60" s="4"/>
    </row>
    <row r="61" spans="1:56" x14ac:dyDescent="0.2">
      <c r="A61" s="117" t="s">
        <v>274</v>
      </c>
      <c r="B61" s="289"/>
      <c r="C61" s="390"/>
      <c r="D61" s="391"/>
      <c r="E61" s="556"/>
      <c r="AM61" s="4"/>
      <c r="AN61" s="4"/>
      <c r="AO61" s="4"/>
      <c r="AP61" s="4"/>
      <c r="AQ61" s="4"/>
      <c r="BA61" s="4"/>
      <c r="BB61" s="4"/>
      <c r="BC61" s="4"/>
      <c r="BD61" s="4"/>
    </row>
    <row r="62" spans="1:56" x14ac:dyDescent="0.2">
      <c r="A62" s="117" t="s">
        <v>274</v>
      </c>
      <c r="B62" s="289"/>
      <c r="C62" s="390"/>
      <c r="D62" s="391"/>
      <c r="E62" s="556"/>
      <c r="AM62" s="4"/>
      <c r="AN62" s="4"/>
      <c r="AO62" s="4"/>
      <c r="AP62" s="4"/>
      <c r="AQ62" s="4"/>
      <c r="BA62" s="4"/>
      <c r="BB62" s="4"/>
      <c r="BC62" s="4"/>
      <c r="BD62" s="4"/>
    </row>
    <row r="63" spans="1:56" x14ac:dyDescent="0.2">
      <c r="A63" s="117" t="s">
        <v>274</v>
      </c>
      <c r="B63" s="289"/>
      <c r="C63" s="390"/>
      <c r="D63" s="391"/>
      <c r="E63" s="556"/>
      <c r="AM63" s="4"/>
      <c r="AN63" s="4"/>
      <c r="AO63" s="4"/>
      <c r="AP63" s="4"/>
      <c r="AQ63" s="4"/>
      <c r="BA63" s="4"/>
      <c r="BB63" s="4"/>
      <c r="BC63" s="4"/>
      <c r="BD63" s="4"/>
    </row>
    <row r="64" spans="1:56" x14ac:dyDescent="0.2">
      <c r="A64" s="117" t="s">
        <v>274</v>
      </c>
      <c r="B64" s="289"/>
      <c r="C64" s="390"/>
      <c r="D64" s="391"/>
      <c r="E64" s="556"/>
      <c r="AM64" s="4"/>
      <c r="AN64" s="4"/>
      <c r="AO64" s="4"/>
      <c r="AP64" s="4"/>
      <c r="AQ64" s="4"/>
      <c r="BA64" s="4"/>
      <c r="BB64" s="4"/>
      <c r="BC64" s="4"/>
      <c r="BD64" s="4"/>
    </row>
    <row r="65" spans="1:81" x14ac:dyDescent="0.2">
      <c r="A65" s="117" t="s">
        <v>274</v>
      </c>
      <c r="B65" s="289"/>
      <c r="C65" s="390"/>
      <c r="D65" s="391"/>
      <c r="E65" s="556"/>
      <c r="AM65" s="4"/>
      <c r="AN65" s="4"/>
      <c r="AO65" s="4"/>
      <c r="AP65" s="4"/>
      <c r="AQ65" s="4"/>
      <c r="BA65" s="4"/>
      <c r="BB65" s="4"/>
      <c r="BC65" s="4"/>
      <c r="BD65" s="4"/>
    </row>
    <row r="66" spans="1:81" x14ac:dyDescent="0.2">
      <c r="A66" s="117" t="s">
        <v>274</v>
      </c>
      <c r="B66" s="289"/>
      <c r="C66" s="390"/>
      <c r="D66" s="391"/>
      <c r="E66" s="556"/>
      <c r="AM66" s="4"/>
      <c r="AN66" s="4"/>
      <c r="AO66" s="4"/>
      <c r="AP66" s="4"/>
      <c r="AQ66" s="4"/>
      <c r="BA66" s="4"/>
      <c r="BB66" s="4"/>
      <c r="BC66" s="4"/>
      <c r="BD66" s="4"/>
    </row>
    <row r="67" spans="1:81" x14ac:dyDescent="0.2">
      <c r="A67" s="117" t="s">
        <v>274</v>
      </c>
      <c r="B67" s="289"/>
      <c r="C67" s="390"/>
      <c r="D67" s="391"/>
      <c r="E67" s="556"/>
      <c r="AM67" s="4"/>
      <c r="AN67" s="4"/>
      <c r="AO67" s="4"/>
      <c r="AP67" s="4"/>
      <c r="AQ67" s="4"/>
      <c r="BA67" s="4"/>
      <c r="BB67" s="4"/>
      <c r="BC67" s="4"/>
      <c r="BD67" s="4"/>
    </row>
    <row r="68" spans="1:81" x14ac:dyDescent="0.2">
      <c r="A68" s="117" t="s">
        <v>274</v>
      </c>
      <c r="B68" s="289"/>
      <c r="C68" s="390"/>
      <c r="D68" s="391"/>
      <c r="E68" s="556"/>
      <c r="AM68" s="4"/>
      <c r="AN68" s="4"/>
      <c r="AO68" s="4"/>
      <c r="AP68" s="4"/>
      <c r="AQ68" s="4"/>
      <c r="BA68" s="4"/>
      <c r="BB68" s="4"/>
      <c r="BC68" s="4"/>
      <c r="BD68" s="4"/>
    </row>
    <row r="69" spans="1:81" x14ac:dyDescent="0.2">
      <c r="A69" s="117" t="s">
        <v>274</v>
      </c>
      <c r="B69" s="289"/>
      <c r="C69" s="390"/>
      <c r="D69" s="391"/>
      <c r="E69" s="556"/>
      <c r="AM69" s="4"/>
      <c r="AN69" s="4"/>
      <c r="AO69" s="4"/>
      <c r="AP69" s="4"/>
      <c r="AQ69" s="4"/>
      <c r="BA69" s="4"/>
      <c r="BB69" s="4"/>
      <c r="BC69" s="4"/>
      <c r="BD69" s="4"/>
    </row>
    <row r="70" spans="1:81" x14ac:dyDescent="0.2">
      <c r="A70" s="117" t="s">
        <v>274</v>
      </c>
      <c r="B70" s="289"/>
      <c r="C70" s="390"/>
      <c r="D70" s="391"/>
      <c r="E70" s="556"/>
      <c r="AM70" s="4"/>
      <c r="AN70" s="4"/>
      <c r="AO70" s="4"/>
      <c r="AP70" s="4"/>
      <c r="AQ70" s="4"/>
      <c r="BA70" s="4"/>
      <c r="BB70" s="4"/>
      <c r="BC70" s="4"/>
      <c r="BD70" s="4"/>
    </row>
    <row r="71" spans="1:81" x14ac:dyDescent="0.2">
      <c r="A71" s="117" t="s">
        <v>274</v>
      </c>
      <c r="B71" s="289"/>
      <c r="C71" s="390"/>
      <c r="D71" s="391"/>
      <c r="E71" s="556"/>
      <c r="AM71" s="4"/>
      <c r="AN71" s="4"/>
      <c r="AO71" s="4"/>
      <c r="AP71" s="4"/>
      <c r="AQ71" s="4"/>
      <c r="BA71" s="4"/>
      <c r="BB71" s="4"/>
      <c r="BC71" s="4"/>
      <c r="BD71" s="4"/>
    </row>
    <row r="72" spans="1:81" x14ac:dyDescent="0.2">
      <c r="A72" s="117" t="s">
        <v>274</v>
      </c>
      <c r="B72" s="290"/>
      <c r="C72" s="390"/>
      <c r="D72" s="391"/>
      <c r="E72" s="556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4"/>
      <c r="BB72" s="4"/>
      <c r="BC72" s="4"/>
      <c r="BD72" s="4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</row>
    <row r="73" spans="1:81" x14ac:dyDescent="0.2">
      <c r="A73" s="117" t="s">
        <v>274</v>
      </c>
      <c r="B73" s="290"/>
      <c r="C73" s="390"/>
      <c r="D73" s="391"/>
      <c r="E73" s="556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4"/>
      <c r="BB73" s="4"/>
      <c r="BC73" s="4"/>
      <c r="BD73" s="4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</row>
    <row r="74" spans="1:81" x14ac:dyDescent="0.2">
      <c r="A74" s="117" t="s">
        <v>274</v>
      </c>
      <c r="B74" s="290"/>
      <c r="C74" s="390"/>
      <c r="D74" s="391"/>
      <c r="E74" s="556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4"/>
      <c r="BB74" s="4"/>
      <c r="BC74" s="4"/>
      <c r="BD74" s="4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</row>
    <row r="75" spans="1:81" x14ac:dyDescent="0.2">
      <c r="A75" s="117" t="s">
        <v>274</v>
      </c>
      <c r="B75" s="290"/>
      <c r="C75" s="390"/>
      <c r="D75" s="391"/>
      <c r="E75" s="556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4"/>
      <c r="BB75" s="4"/>
      <c r="BC75" s="4"/>
      <c r="BD75" s="4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  <c r="CC75" s="30"/>
    </row>
    <row r="76" spans="1:81" x14ac:dyDescent="0.2">
      <c r="A76" s="117" t="s">
        <v>274</v>
      </c>
      <c r="B76" s="290"/>
      <c r="C76" s="390"/>
      <c r="D76" s="391"/>
      <c r="E76" s="556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4"/>
      <c r="BB76" s="4"/>
      <c r="BC76" s="4"/>
      <c r="BD76" s="4"/>
      <c r="BO76" s="30"/>
      <c r="BP76" s="30"/>
      <c r="BQ76" s="30"/>
      <c r="BR76" s="30"/>
      <c r="BS76" s="30"/>
      <c r="BT76" s="30"/>
      <c r="BU76" s="30"/>
      <c r="BV76" s="30"/>
      <c r="BW76" s="30"/>
      <c r="BX76" s="30"/>
      <c r="BY76" s="30"/>
      <c r="BZ76" s="30"/>
      <c r="CA76" s="30"/>
      <c r="CB76" s="30"/>
      <c r="CC76" s="30"/>
    </row>
    <row r="77" spans="1:81" x14ac:dyDescent="0.2">
      <c r="A77" s="117" t="s">
        <v>274</v>
      </c>
      <c r="B77" s="290"/>
      <c r="C77" s="390"/>
      <c r="D77" s="391"/>
      <c r="E77" s="556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4"/>
      <c r="BB77" s="4"/>
      <c r="BC77" s="4"/>
      <c r="BD77" s="4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  <c r="CC77" s="30"/>
    </row>
    <row r="78" spans="1:81" x14ac:dyDescent="0.2">
      <c r="A78" s="117" t="s">
        <v>274</v>
      </c>
      <c r="B78" s="290"/>
      <c r="C78" s="390"/>
      <c r="D78" s="391"/>
      <c r="E78" s="556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4"/>
      <c r="BB78" s="4"/>
      <c r="BC78" s="4"/>
      <c r="BD78" s="4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  <c r="CC78" s="30"/>
    </row>
    <row r="79" spans="1:81" x14ac:dyDescent="0.2">
      <c r="A79" s="117" t="s">
        <v>274</v>
      </c>
      <c r="B79" s="290"/>
      <c r="C79" s="390"/>
      <c r="D79" s="391"/>
      <c r="E79" s="556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4"/>
      <c r="BB79" s="4"/>
      <c r="BC79" s="4"/>
      <c r="BD79" s="4"/>
      <c r="BO79" s="30"/>
      <c r="BP79" s="30"/>
      <c r="BQ79" s="30"/>
      <c r="BR79" s="30"/>
      <c r="BS79" s="30"/>
      <c r="BT79" s="30"/>
      <c r="BU79" s="30"/>
      <c r="BV79" s="30"/>
      <c r="BW79" s="30"/>
      <c r="BX79" s="30"/>
      <c r="BY79" s="30"/>
      <c r="BZ79" s="30"/>
      <c r="CA79" s="30"/>
      <c r="CB79" s="30"/>
      <c r="CC79" s="30"/>
    </row>
    <row r="80" spans="1:81" x14ac:dyDescent="0.2">
      <c r="A80" s="117" t="s">
        <v>274</v>
      </c>
      <c r="B80" s="290"/>
      <c r="C80" s="390"/>
      <c r="D80" s="391"/>
      <c r="E80" s="556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4"/>
      <c r="BB80" s="4"/>
      <c r="BC80" s="4"/>
      <c r="BD80" s="4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</row>
    <row r="81" spans="1:56" x14ac:dyDescent="0.2">
      <c r="A81" s="117" t="s">
        <v>274</v>
      </c>
      <c r="B81" s="289"/>
      <c r="C81" s="390"/>
      <c r="D81" s="391"/>
      <c r="E81" s="556"/>
      <c r="AM81" s="4"/>
      <c r="AN81" s="4"/>
      <c r="AO81" s="4"/>
      <c r="AP81" s="4"/>
      <c r="AQ81" s="4"/>
      <c r="BA81" s="4"/>
      <c r="BB81" s="4"/>
      <c r="BC81" s="4"/>
      <c r="BD81" s="4"/>
    </row>
    <row r="82" spans="1:56" x14ac:dyDescent="0.2">
      <c r="A82" s="117" t="s">
        <v>274</v>
      </c>
      <c r="B82" s="289"/>
      <c r="C82" s="390"/>
      <c r="D82" s="391"/>
      <c r="E82" s="556"/>
      <c r="AM82" s="4"/>
      <c r="AN82" s="4"/>
      <c r="AO82" s="4"/>
      <c r="AP82" s="4"/>
      <c r="AQ82" s="4"/>
      <c r="BA82" s="4"/>
      <c r="BB82" s="4"/>
      <c r="BC82" s="4"/>
      <c r="BD82" s="4"/>
    </row>
    <row r="83" spans="1:56" x14ac:dyDescent="0.2">
      <c r="A83" s="117" t="s">
        <v>274</v>
      </c>
      <c r="B83" s="289"/>
      <c r="C83" s="390"/>
      <c r="D83" s="391"/>
      <c r="E83" s="556"/>
      <c r="AM83" s="4"/>
      <c r="AN83" s="4"/>
      <c r="AO83" s="4"/>
      <c r="AP83" s="4"/>
      <c r="AQ83" s="4"/>
      <c r="BA83" s="4"/>
      <c r="BB83" s="4"/>
      <c r="BC83" s="4"/>
      <c r="BD83" s="4"/>
    </row>
    <row r="84" spans="1:56" x14ac:dyDescent="0.2">
      <c r="A84" s="117" t="s">
        <v>274</v>
      </c>
      <c r="B84" s="289"/>
      <c r="C84" s="390"/>
      <c r="D84" s="391"/>
      <c r="E84" s="556"/>
      <c r="AM84" s="4"/>
      <c r="AN84" s="4"/>
      <c r="AO84" s="4"/>
      <c r="AP84" s="4"/>
      <c r="AQ84" s="4"/>
      <c r="BA84" s="4"/>
      <c r="BB84" s="4"/>
      <c r="BC84" s="4"/>
      <c r="BD84" s="4"/>
    </row>
    <row r="85" spans="1:56" x14ac:dyDescent="0.2">
      <c r="A85" s="117" t="s">
        <v>274</v>
      </c>
      <c r="B85" s="289"/>
      <c r="C85" s="390"/>
      <c r="D85" s="391"/>
      <c r="E85" s="556"/>
      <c r="AM85" s="4"/>
      <c r="AN85" s="4"/>
      <c r="AO85" s="4"/>
      <c r="AP85" s="4"/>
      <c r="AQ85" s="4"/>
      <c r="BA85" s="4"/>
      <c r="BB85" s="4"/>
      <c r="BC85" s="4"/>
      <c r="BD85" s="4"/>
    </row>
    <row r="86" spans="1:56" x14ac:dyDescent="0.2">
      <c r="A86" s="117" t="s">
        <v>274</v>
      </c>
      <c r="B86" s="289"/>
      <c r="C86" s="390"/>
      <c r="D86" s="391"/>
      <c r="E86" s="556"/>
      <c r="AM86" s="4"/>
      <c r="AN86" s="4"/>
      <c r="AO86" s="4"/>
      <c r="AP86" s="4"/>
      <c r="AQ86" s="4"/>
      <c r="BA86" s="4"/>
      <c r="BB86" s="4"/>
      <c r="BC86" s="4"/>
      <c r="BD86" s="4"/>
    </row>
    <row r="87" spans="1:56" x14ac:dyDescent="0.2">
      <c r="A87" s="117" t="s">
        <v>274</v>
      </c>
      <c r="B87" s="289"/>
      <c r="C87" s="390"/>
      <c r="D87" s="391"/>
      <c r="E87" s="556"/>
      <c r="AM87" s="4"/>
      <c r="AN87" s="4"/>
      <c r="AO87" s="4"/>
      <c r="AP87" s="4"/>
      <c r="AQ87" s="4"/>
      <c r="BA87" s="4"/>
      <c r="BB87" s="4"/>
      <c r="BC87" s="4"/>
      <c r="BD87" s="4"/>
    </row>
    <row r="88" spans="1:56" x14ac:dyDescent="0.2">
      <c r="A88" s="117" t="s">
        <v>274</v>
      </c>
      <c r="B88" s="289"/>
      <c r="C88" s="390"/>
      <c r="D88" s="391"/>
      <c r="E88" s="556"/>
      <c r="AM88" s="4"/>
      <c r="AN88" s="4"/>
      <c r="AO88" s="4"/>
      <c r="AP88" s="4"/>
      <c r="AQ88" s="4"/>
      <c r="BA88" s="4"/>
      <c r="BB88" s="4"/>
      <c r="BC88" s="4"/>
      <c r="BD88" s="4"/>
    </row>
    <row r="89" spans="1:56" x14ac:dyDescent="0.2">
      <c r="A89" s="117" t="s">
        <v>274</v>
      </c>
      <c r="B89" s="289"/>
      <c r="C89" s="390"/>
      <c r="D89" s="391"/>
      <c r="E89" s="556"/>
      <c r="AM89" s="4"/>
      <c r="AN89" s="4"/>
      <c r="AO89" s="4"/>
      <c r="AP89" s="4"/>
      <c r="AQ89" s="4"/>
      <c r="BA89" s="4"/>
      <c r="BB89" s="4"/>
      <c r="BC89" s="4"/>
      <c r="BD89" s="4"/>
    </row>
    <row r="90" spans="1:56" x14ac:dyDescent="0.2">
      <c r="A90" s="117" t="s">
        <v>274</v>
      </c>
      <c r="B90" s="289"/>
      <c r="C90" s="390"/>
      <c r="D90" s="391"/>
      <c r="E90" s="556"/>
      <c r="AM90" s="4"/>
      <c r="AN90" s="4"/>
      <c r="AO90" s="4"/>
      <c r="AP90" s="4"/>
      <c r="AQ90" s="4"/>
      <c r="BA90" s="4"/>
      <c r="BB90" s="4"/>
      <c r="BC90" s="4"/>
      <c r="BD90" s="4"/>
    </row>
    <row r="91" spans="1:56" x14ac:dyDescent="0.2">
      <c r="A91" s="117" t="s">
        <v>274</v>
      </c>
      <c r="B91" s="289"/>
      <c r="C91" s="390"/>
      <c r="D91" s="391"/>
      <c r="E91" s="556"/>
      <c r="AM91" s="4"/>
      <c r="AN91" s="4"/>
      <c r="AO91" s="4"/>
      <c r="AP91" s="4"/>
      <c r="AQ91" s="4"/>
      <c r="BA91" s="4"/>
      <c r="BB91" s="4"/>
      <c r="BC91" s="4"/>
      <c r="BD91" s="4"/>
    </row>
    <row r="92" spans="1:56" x14ac:dyDescent="0.2">
      <c r="A92" s="117" t="s">
        <v>274</v>
      </c>
      <c r="B92" s="289"/>
      <c r="C92" s="390"/>
      <c r="D92" s="391"/>
      <c r="E92" s="556"/>
      <c r="AM92" s="4"/>
      <c r="AN92" s="4"/>
      <c r="AO92" s="4"/>
      <c r="AP92" s="4"/>
      <c r="AQ92" s="4"/>
      <c r="BA92" s="4"/>
      <c r="BB92" s="4"/>
      <c r="BC92" s="4"/>
      <c r="BD92" s="4"/>
    </row>
    <row r="93" spans="1:56" x14ac:dyDescent="0.2">
      <c r="A93" s="117" t="s">
        <v>274</v>
      </c>
      <c r="B93" s="289"/>
      <c r="C93" s="390"/>
      <c r="D93" s="391"/>
      <c r="E93" s="556"/>
      <c r="AM93" s="4"/>
      <c r="AN93" s="4"/>
      <c r="AO93" s="4"/>
      <c r="AP93" s="4"/>
      <c r="AQ93" s="4"/>
      <c r="BA93" s="4"/>
      <c r="BB93" s="4"/>
      <c r="BC93" s="4"/>
      <c r="BD93" s="4"/>
    </row>
    <row r="94" spans="1:56" x14ac:dyDescent="0.2">
      <c r="A94" s="117" t="s">
        <v>274</v>
      </c>
      <c r="B94" s="289"/>
      <c r="C94" s="390"/>
      <c r="D94" s="391"/>
      <c r="E94" s="556"/>
      <c r="AM94" s="4"/>
      <c r="AN94" s="4"/>
      <c r="AO94" s="4"/>
      <c r="AP94" s="4"/>
      <c r="AQ94" s="4"/>
      <c r="BA94" s="4"/>
      <c r="BB94" s="4"/>
      <c r="BC94" s="4"/>
      <c r="BD94" s="4"/>
    </row>
    <row r="95" spans="1:56" x14ac:dyDescent="0.2">
      <c r="A95" s="117" t="s">
        <v>274</v>
      </c>
      <c r="B95" s="289"/>
      <c r="C95" s="390"/>
      <c r="D95" s="391"/>
      <c r="E95" s="556"/>
      <c r="AM95" s="4"/>
      <c r="AN95" s="4"/>
      <c r="AO95" s="4"/>
      <c r="AP95" s="4"/>
      <c r="AQ95" s="4"/>
      <c r="BA95" s="4"/>
      <c r="BB95" s="4"/>
      <c r="BC95" s="4"/>
      <c r="BD95" s="4"/>
    </row>
    <row r="96" spans="1:56" x14ac:dyDescent="0.2">
      <c r="A96" s="117" t="s">
        <v>274</v>
      </c>
      <c r="B96" s="289"/>
      <c r="C96" s="390"/>
      <c r="D96" s="391"/>
      <c r="E96" s="556"/>
      <c r="AM96" s="4"/>
      <c r="AN96" s="4"/>
      <c r="AO96" s="4"/>
      <c r="AP96" s="4"/>
      <c r="AQ96" s="4"/>
      <c r="BA96" s="4"/>
      <c r="BB96" s="4"/>
      <c r="BC96" s="4"/>
      <c r="BD96" s="4"/>
    </row>
    <row r="97" spans="1:56" x14ac:dyDescent="0.2">
      <c r="A97" s="117" t="s">
        <v>274</v>
      </c>
      <c r="B97" s="289"/>
      <c r="C97" s="390"/>
      <c r="D97" s="391"/>
      <c r="E97" s="556"/>
      <c r="AM97" s="4"/>
      <c r="AN97" s="4"/>
      <c r="AO97" s="4"/>
      <c r="AP97" s="4"/>
      <c r="AQ97" s="4"/>
      <c r="BA97" s="4"/>
      <c r="BB97" s="4"/>
      <c r="BC97" s="4"/>
      <c r="BD97" s="4"/>
    </row>
    <row r="98" spans="1:56" x14ac:dyDescent="0.2">
      <c r="A98" s="117" t="s">
        <v>274</v>
      </c>
      <c r="B98" s="289"/>
      <c r="C98" s="390"/>
      <c r="D98" s="391"/>
      <c r="E98" s="556"/>
      <c r="AM98" s="4"/>
      <c r="AN98" s="4"/>
      <c r="AO98" s="4"/>
      <c r="AP98" s="4"/>
      <c r="AQ98" s="4"/>
      <c r="BA98" s="4"/>
      <c r="BB98" s="4"/>
      <c r="BC98" s="4"/>
      <c r="BD98" s="4"/>
    </row>
    <row r="99" spans="1:56" x14ac:dyDescent="0.2">
      <c r="A99" s="117" t="s">
        <v>274</v>
      </c>
      <c r="B99" s="289"/>
      <c r="C99" s="390"/>
      <c r="D99" s="391"/>
      <c r="E99" s="556"/>
      <c r="AM99" s="4"/>
      <c r="AN99" s="4"/>
      <c r="AO99" s="4"/>
      <c r="AP99" s="4"/>
      <c r="AQ99" s="4"/>
      <c r="BA99" s="4"/>
      <c r="BB99" s="4"/>
      <c r="BC99" s="4"/>
      <c r="BD99" s="4"/>
    </row>
    <row r="100" spans="1:56" x14ac:dyDescent="0.2">
      <c r="A100" s="117" t="s">
        <v>274</v>
      </c>
      <c r="B100" s="289"/>
      <c r="C100" s="390"/>
      <c r="D100" s="391"/>
      <c r="E100" s="556"/>
      <c r="AM100" s="4"/>
      <c r="AN100" s="4"/>
      <c r="AO100" s="4"/>
      <c r="AP100" s="4"/>
      <c r="AQ100" s="4"/>
      <c r="BA100" s="4"/>
      <c r="BB100" s="4"/>
      <c r="BC100" s="4"/>
      <c r="BD100" s="4"/>
    </row>
    <row r="101" spans="1:56" x14ac:dyDescent="0.2">
      <c r="A101" s="117" t="s">
        <v>274</v>
      </c>
      <c r="B101" s="289"/>
      <c r="C101" s="390"/>
      <c r="D101" s="391"/>
      <c r="E101" s="556"/>
      <c r="AM101" s="4"/>
      <c r="AN101" s="4"/>
      <c r="AO101" s="4"/>
      <c r="AP101" s="4"/>
      <c r="AQ101" s="4"/>
      <c r="BA101" s="4"/>
      <c r="BB101" s="4"/>
      <c r="BC101" s="4"/>
      <c r="BD101" s="4"/>
    </row>
    <row r="102" spans="1:56" x14ac:dyDescent="0.2">
      <c r="A102" s="117" t="s">
        <v>274</v>
      </c>
      <c r="B102" s="289"/>
      <c r="C102" s="390"/>
      <c r="D102" s="391"/>
      <c r="E102" s="556"/>
      <c r="AM102" s="4"/>
      <c r="AN102" s="4"/>
      <c r="AO102" s="4"/>
      <c r="AP102" s="4"/>
      <c r="AQ102" s="4"/>
      <c r="BA102" s="4"/>
      <c r="BB102" s="4"/>
      <c r="BC102" s="4"/>
      <c r="BD102" s="4"/>
    </row>
    <row r="103" spans="1:56" x14ac:dyDescent="0.2">
      <c r="A103" s="117" t="s">
        <v>274</v>
      </c>
      <c r="B103" s="289"/>
      <c r="C103" s="390"/>
      <c r="D103" s="391"/>
      <c r="E103" s="556"/>
      <c r="AM103" s="4"/>
      <c r="AN103" s="4"/>
      <c r="AO103" s="4"/>
      <c r="AP103" s="4"/>
      <c r="AQ103" s="4"/>
      <c r="BA103" s="4"/>
      <c r="BB103" s="4"/>
      <c r="BC103" s="4"/>
      <c r="BD103" s="4"/>
    </row>
    <row r="104" spans="1:56" x14ac:dyDescent="0.2">
      <c r="A104" s="117" t="s">
        <v>274</v>
      </c>
      <c r="B104" s="289"/>
      <c r="C104" s="390"/>
      <c r="D104" s="391"/>
      <c r="E104" s="556"/>
      <c r="AM104" s="4"/>
      <c r="AN104" s="4"/>
      <c r="AO104" s="4"/>
      <c r="AP104" s="4"/>
      <c r="AQ104" s="4"/>
      <c r="BA104" s="4"/>
      <c r="BB104" s="4"/>
      <c r="BC104" s="4"/>
      <c r="BD104" s="4"/>
    </row>
    <row r="105" spans="1:56" x14ac:dyDescent="0.2">
      <c r="A105" s="117" t="s">
        <v>274</v>
      </c>
      <c r="B105" s="289"/>
      <c r="C105" s="390"/>
      <c r="D105" s="391"/>
      <c r="E105" s="556"/>
      <c r="AM105" s="4"/>
      <c r="AN105" s="4"/>
      <c r="AO105" s="4"/>
      <c r="AP105" s="4"/>
      <c r="AQ105" s="4"/>
      <c r="BA105" s="4"/>
      <c r="BB105" s="4"/>
      <c r="BC105" s="4"/>
      <c r="BD105" s="4"/>
    </row>
    <row r="106" spans="1:56" x14ac:dyDescent="0.2">
      <c r="A106" s="117" t="s">
        <v>274</v>
      </c>
      <c r="B106" s="289"/>
      <c r="C106" s="390"/>
      <c r="D106" s="391"/>
      <c r="E106" s="556"/>
      <c r="AM106" s="4"/>
      <c r="AN106" s="4"/>
      <c r="AO106" s="4"/>
      <c r="AP106" s="4"/>
      <c r="AQ106" s="4"/>
      <c r="BA106" s="4"/>
      <c r="BB106" s="4"/>
      <c r="BC106" s="4"/>
      <c r="BD106" s="4"/>
    </row>
    <row r="107" spans="1:56" x14ac:dyDescent="0.2">
      <c r="A107" s="117" t="s">
        <v>274</v>
      </c>
      <c r="B107" s="289"/>
      <c r="C107" s="390"/>
      <c r="D107" s="391"/>
      <c r="E107" s="556"/>
      <c r="AM107" s="4"/>
      <c r="AN107" s="4"/>
      <c r="AO107" s="4"/>
      <c r="AP107" s="4"/>
      <c r="AQ107" s="4"/>
      <c r="BA107" s="4"/>
      <c r="BB107" s="4"/>
      <c r="BC107" s="4"/>
      <c r="BD107" s="4"/>
    </row>
    <row r="108" spans="1:56" x14ac:dyDescent="0.2">
      <c r="A108" s="117" t="s">
        <v>274</v>
      </c>
      <c r="B108" s="289"/>
      <c r="C108" s="390"/>
      <c r="D108" s="391"/>
      <c r="E108" s="556"/>
      <c r="AM108" s="4"/>
      <c r="AN108" s="4"/>
      <c r="AO108" s="4"/>
      <c r="AP108" s="4"/>
      <c r="AQ108" s="4"/>
      <c r="BA108" s="4"/>
      <c r="BB108" s="4"/>
      <c r="BC108" s="4"/>
      <c r="BD108" s="4"/>
    </row>
    <row r="109" spans="1:56" x14ac:dyDescent="0.2">
      <c r="A109" s="117" t="s">
        <v>274</v>
      </c>
      <c r="B109" s="289"/>
      <c r="C109" s="390"/>
      <c r="D109" s="391"/>
      <c r="E109" s="556"/>
      <c r="AM109" s="4"/>
      <c r="AN109" s="4"/>
      <c r="AO109" s="4"/>
      <c r="AP109" s="4"/>
      <c r="AQ109" s="4"/>
      <c r="BA109" s="4"/>
      <c r="BB109" s="4"/>
      <c r="BC109" s="4"/>
      <c r="BD109" s="4"/>
    </row>
    <row r="110" spans="1:56" x14ac:dyDescent="0.2">
      <c r="A110" s="117" t="s">
        <v>274</v>
      </c>
      <c r="B110" s="289"/>
      <c r="C110" s="390"/>
      <c r="D110" s="391"/>
      <c r="E110" s="556"/>
      <c r="AM110" s="4"/>
      <c r="AN110" s="4"/>
      <c r="AO110" s="4"/>
      <c r="AP110" s="4"/>
      <c r="AQ110" s="4"/>
      <c r="BA110" s="4"/>
      <c r="BB110" s="4"/>
      <c r="BC110" s="4"/>
      <c r="BD110" s="4"/>
    </row>
    <row r="111" spans="1:56" x14ac:dyDescent="0.2">
      <c r="A111" s="117" t="s">
        <v>274</v>
      </c>
      <c r="B111" s="289"/>
      <c r="C111" s="390"/>
      <c r="D111" s="391"/>
      <c r="E111" s="556"/>
      <c r="AM111" s="4"/>
      <c r="AN111" s="4"/>
      <c r="AO111" s="4"/>
      <c r="AP111" s="4"/>
      <c r="AQ111" s="4"/>
      <c r="BA111" s="4"/>
      <c r="BB111" s="4"/>
      <c r="BC111" s="4"/>
      <c r="BD111" s="4"/>
    </row>
    <row r="112" spans="1:56" x14ac:dyDescent="0.2">
      <c r="A112" s="117" t="s">
        <v>274</v>
      </c>
      <c r="B112" s="289"/>
      <c r="C112" s="390"/>
      <c r="D112" s="391"/>
      <c r="E112" s="556"/>
      <c r="AM112" s="4"/>
      <c r="AN112" s="4"/>
      <c r="AO112" s="4"/>
      <c r="AP112" s="4"/>
      <c r="AQ112" s="4"/>
      <c r="BA112" s="4"/>
      <c r="BB112" s="4"/>
      <c r="BC112" s="4"/>
      <c r="BD112" s="4"/>
    </row>
    <row r="113" spans="1:66" x14ac:dyDescent="0.2">
      <c r="A113" s="117" t="s">
        <v>274</v>
      </c>
      <c r="B113" s="289"/>
      <c r="C113" s="390"/>
      <c r="D113" s="391"/>
      <c r="E113" s="556"/>
      <c r="AM113" s="4"/>
      <c r="AN113" s="4"/>
      <c r="AO113" s="4"/>
      <c r="AP113" s="4"/>
      <c r="AQ113" s="4"/>
      <c r="BA113" s="4"/>
      <c r="BB113" s="4"/>
      <c r="BC113" s="4"/>
      <c r="BD113" s="4"/>
    </row>
    <row r="114" spans="1:66" x14ac:dyDescent="0.2">
      <c r="A114" s="117" t="s">
        <v>274</v>
      </c>
      <c r="B114" s="289"/>
      <c r="C114" s="390"/>
      <c r="D114" s="391"/>
      <c r="E114" s="556"/>
      <c r="AM114" s="4"/>
      <c r="AN114" s="4"/>
      <c r="AO114" s="4"/>
      <c r="AP114" s="4"/>
      <c r="AQ114" s="4"/>
      <c r="BA114" s="4"/>
      <c r="BB114" s="4"/>
      <c r="BC114" s="4"/>
      <c r="BD114" s="4"/>
    </row>
    <row r="115" spans="1:66" x14ac:dyDescent="0.2">
      <c r="A115" s="117" t="s">
        <v>274</v>
      </c>
      <c r="B115" s="289"/>
      <c r="C115" s="390"/>
      <c r="D115" s="391"/>
      <c r="E115" s="556"/>
      <c r="AM115" s="4"/>
      <c r="AN115" s="4"/>
      <c r="AO115" s="4"/>
      <c r="AP115" s="4"/>
      <c r="AQ115" s="4"/>
      <c r="BA115" s="4"/>
      <c r="BB115" s="4"/>
      <c r="BC115" s="4"/>
      <c r="BD115" s="4"/>
    </row>
    <row r="117" spans="1:66" x14ac:dyDescent="0.2">
      <c r="B117" s="215" t="s">
        <v>1471</v>
      </c>
    </row>
    <row r="118" spans="1:66" x14ac:dyDescent="0.2">
      <c r="A118" s="544"/>
      <c r="B118" s="545" t="s">
        <v>1472</v>
      </c>
      <c r="C118" s="546">
        <f>1/16</f>
        <v>6.25E-2</v>
      </c>
      <c r="D118" s="547"/>
      <c r="E118" s="558">
        <f>3000*1.25</f>
        <v>3750</v>
      </c>
    </row>
    <row r="119" spans="1:66" x14ac:dyDescent="0.2">
      <c r="A119" s="548"/>
      <c r="B119" s="539" t="s">
        <v>1473</v>
      </c>
      <c r="C119" s="540">
        <f t="shared" ref="C119:C131" si="3">1/16</f>
        <v>6.25E-2</v>
      </c>
      <c r="D119" s="549"/>
      <c r="E119" s="558">
        <f>2400*1.25</f>
        <v>3000</v>
      </c>
      <c r="BJ119" s="5">
        <v>-10</v>
      </c>
    </row>
    <row r="120" spans="1:66" x14ac:dyDescent="0.2">
      <c r="A120" s="548"/>
      <c r="B120" s="539" t="s">
        <v>1474</v>
      </c>
      <c r="C120" s="540">
        <f t="shared" si="3"/>
        <v>6.25E-2</v>
      </c>
      <c r="D120" s="549"/>
      <c r="E120" s="558">
        <f>4000*1.25</f>
        <v>5000</v>
      </c>
      <c r="BM120" s="5">
        <v>5</v>
      </c>
      <c r="BN120" s="5">
        <v>5</v>
      </c>
    </row>
    <row r="121" spans="1:66" x14ac:dyDescent="0.2">
      <c r="A121" s="548"/>
      <c r="B121" s="539" t="s">
        <v>1484</v>
      </c>
      <c r="C121" s="540">
        <f t="shared" si="3"/>
        <v>6.25E-2</v>
      </c>
      <c r="D121" s="549"/>
      <c r="E121" s="558">
        <f>2200*1.25</f>
        <v>2750</v>
      </c>
      <c r="BH121" s="5">
        <v>-15</v>
      </c>
    </row>
    <row r="122" spans="1:66" x14ac:dyDescent="0.2">
      <c r="A122" s="548"/>
      <c r="B122" s="539" t="s">
        <v>1483</v>
      </c>
      <c r="C122" s="540">
        <f t="shared" si="3"/>
        <v>6.25E-2</v>
      </c>
      <c r="D122" s="549"/>
      <c r="E122" s="558">
        <f>3000*1.25</f>
        <v>3750</v>
      </c>
      <c r="BH122" s="5">
        <v>-20</v>
      </c>
    </row>
    <row r="123" spans="1:66" x14ac:dyDescent="0.2">
      <c r="A123" s="548"/>
      <c r="B123" s="539" t="s">
        <v>1475</v>
      </c>
      <c r="C123" s="540">
        <f t="shared" si="3"/>
        <v>6.25E-2</v>
      </c>
      <c r="D123" s="549"/>
      <c r="E123" s="558">
        <f>9600*1.25</f>
        <v>12000</v>
      </c>
      <c r="BG123" s="5">
        <v>-2</v>
      </c>
    </row>
    <row r="124" spans="1:66" x14ac:dyDescent="0.2">
      <c r="A124" s="548"/>
      <c r="B124" s="539" t="s">
        <v>1476</v>
      </c>
      <c r="C124" s="540">
        <f t="shared" si="3"/>
        <v>6.25E-2</v>
      </c>
      <c r="D124" s="549"/>
      <c r="E124" s="558">
        <f>4800*1.25</f>
        <v>6000</v>
      </c>
    </row>
    <row r="125" spans="1:66" x14ac:dyDescent="0.2">
      <c r="A125" s="548"/>
      <c r="B125" s="539" t="s">
        <v>1477</v>
      </c>
      <c r="C125" s="540">
        <f t="shared" si="3"/>
        <v>6.25E-2</v>
      </c>
      <c r="D125" s="549"/>
      <c r="E125" s="558">
        <f>8000*1.25</f>
        <v>10000</v>
      </c>
      <c r="AK125" s="4">
        <v>2</v>
      </c>
    </row>
    <row r="126" spans="1:66" x14ac:dyDescent="0.2">
      <c r="A126" s="548"/>
      <c r="B126" s="539" t="s">
        <v>1485</v>
      </c>
      <c r="C126" s="540">
        <f t="shared" si="3"/>
        <v>6.25E-2</v>
      </c>
      <c r="D126" s="549"/>
      <c r="E126" s="558">
        <f>400*1.25</f>
        <v>500</v>
      </c>
    </row>
    <row r="127" spans="1:66" x14ac:dyDescent="0.2">
      <c r="A127" s="548"/>
      <c r="B127" s="539" t="s">
        <v>1486</v>
      </c>
      <c r="C127" s="540">
        <f t="shared" si="3"/>
        <v>6.25E-2</v>
      </c>
      <c r="D127" s="549"/>
      <c r="E127" s="558">
        <f>800*1.25</f>
        <v>1000</v>
      </c>
      <c r="U127" s="4">
        <v>10</v>
      </c>
    </row>
    <row r="128" spans="1:66" x14ac:dyDescent="0.2">
      <c r="A128" s="548"/>
      <c r="B128" s="539" t="s">
        <v>1487</v>
      </c>
      <c r="C128" s="540">
        <f t="shared" si="3"/>
        <v>6.25E-2</v>
      </c>
      <c r="D128" s="549"/>
      <c r="E128" s="558">
        <f>4000*1.25</f>
        <v>5000</v>
      </c>
    </row>
    <row r="129" spans="1:39" x14ac:dyDescent="0.2">
      <c r="A129" s="548"/>
      <c r="B129" s="539" t="s">
        <v>1488</v>
      </c>
      <c r="C129" s="540">
        <f t="shared" si="3"/>
        <v>6.25E-2</v>
      </c>
      <c r="D129" s="549"/>
      <c r="E129" s="558">
        <f>4000*1.25</f>
        <v>5000</v>
      </c>
    </row>
    <row r="130" spans="1:39" x14ac:dyDescent="0.2">
      <c r="A130" s="548"/>
      <c r="B130" s="539" t="s">
        <v>1489</v>
      </c>
      <c r="C130" s="540">
        <f t="shared" si="3"/>
        <v>6.25E-2</v>
      </c>
      <c r="D130" s="549"/>
      <c r="E130" s="558">
        <f>4800*1.25</f>
        <v>6000</v>
      </c>
    </row>
    <row r="131" spans="1:39" x14ac:dyDescent="0.2">
      <c r="A131" s="550"/>
      <c r="B131" s="551" t="s">
        <v>1490</v>
      </c>
      <c r="C131" s="552">
        <f t="shared" si="3"/>
        <v>6.25E-2</v>
      </c>
      <c r="D131" s="553"/>
      <c r="E131" s="558">
        <f>2400*1.25</f>
        <v>3000</v>
      </c>
      <c r="T131" s="4">
        <v>3</v>
      </c>
      <c r="AM131" s="5">
        <v>2</v>
      </c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26"/>
  <sheetViews>
    <sheetView workbookViewId="0">
      <selection activeCell="Q9" sqref="Q9"/>
    </sheetView>
  </sheetViews>
  <sheetFormatPr defaultColWidth="9.140625" defaultRowHeight="12" x14ac:dyDescent="0.2"/>
  <cols>
    <col min="1" max="1" width="19.7109375" style="34" customWidth="1"/>
    <col min="2" max="2" width="3.7109375" style="3" customWidth="1"/>
    <col min="3" max="3" width="5.7109375" style="3" customWidth="1"/>
    <col min="4" max="6" width="6.7109375" style="3" customWidth="1"/>
    <col min="7" max="7" width="5.7109375" style="3" customWidth="1"/>
    <col min="8" max="9" width="6.7109375" style="3" customWidth="1"/>
    <col min="10" max="10" width="5.7109375" style="3" customWidth="1"/>
    <col min="11" max="15" width="6.7109375" style="3" customWidth="1"/>
    <col min="16" max="17" width="6.85546875" style="3" customWidth="1"/>
    <col min="18" max="18" width="16.42578125" style="34" customWidth="1"/>
    <col min="19" max="19" width="5.5703125" style="3" bestFit="1" customWidth="1"/>
    <col min="20" max="20" width="12.28515625" style="3" customWidth="1"/>
    <col min="21" max="24" width="4.7109375" style="3" customWidth="1"/>
    <col min="25" max="25" width="10.7109375" style="3" customWidth="1"/>
    <col min="26" max="26" width="9.140625" style="34"/>
    <col min="27" max="27" width="19.5703125" style="34" customWidth="1"/>
    <col min="28" max="28" width="4.140625" style="3" customWidth="1"/>
    <col min="29" max="29" width="4.7109375" style="3" customWidth="1"/>
    <col min="30" max="30" width="8.28515625" style="3" bestFit="1" customWidth="1"/>
    <col min="31" max="31" width="6.28515625" style="3" bestFit="1" customWidth="1"/>
    <col min="32" max="32" width="4.5703125" style="3" bestFit="1" customWidth="1"/>
    <col min="33" max="33" width="11.42578125" style="34" bestFit="1" customWidth="1"/>
    <col min="34" max="34" width="4.42578125" style="3" customWidth="1"/>
    <col min="35" max="16384" width="9.140625" style="34"/>
  </cols>
  <sheetData>
    <row r="1" spans="1:36" s="38" customFormat="1" ht="15" customHeight="1" x14ac:dyDescent="0.2">
      <c r="A1" s="108" t="s">
        <v>180</v>
      </c>
      <c r="B1" s="113">
        <f>'Summary (P)'!N3</f>
        <v>0</v>
      </c>
      <c r="C1" s="113" t="str">
        <f>IF(Stats!H3&lt;=Combat!B1,"OoF! ","")</f>
        <v/>
      </c>
      <c r="D1" s="113"/>
      <c r="E1" s="808" t="s">
        <v>183</v>
      </c>
      <c r="F1" s="808"/>
      <c r="G1" s="113">
        <f>Stats!$F$3*2+Bonuses!$P$3+Stats!$H$3-$B1+Bonuses!BA3</f>
        <v>50</v>
      </c>
      <c r="H1" s="108" t="s">
        <v>189</v>
      </c>
      <c r="I1" s="113" t="str">
        <f>Stats!$F$3+Bonuses!$T$3&amp;""</f>
        <v>35</v>
      </c>
      <c r="J1" s="113"/>
      <c r="K1" s="140" t="s">
        <v>158</v>
      </c>
      <c r="L1" s="113" t="str">
        <f>IF(Skills!$H$58&lt;0,"Un",Skills!$H$58)</f>
        <v>Un</v>
      </c>
      <c r="M1" s="211" t="s">
        <v>327</v>
      </c>
      <c r="N1" s="211">
        <f>IF(ISERROR($L$1*1),0,$L$1)</f>
        <v>0</v>
      </c>
      <c r="O1" s="211" t="s">
        <v>328</v>
      </c>
      <c r="P1" s="211">
        <f>IF(ISERROR($L$1*1),0,2+$L$1*2)</f>
        <v>0</v>
      </c>
      <c r="Q1" s="211" t="s">
        <v>329</v>
      </c>
      <c r="R1" s="212">
        <f>IF(ISERROR($L$1*1),0,TRUNC($L$1/5,0))</f>
        <v>0</v>
      </c>
      <c r="S1" s="211" t="s">
        <v>1171</v>
      </c>
      <c r="T1" s="212">
        <f>IF(ISERROR($L$1*1),0,2+$L$1*2)</f>
        <v>0</v>
      </c>
      <c r="U1" s="46"/>
      <c r="V1" s="46" t="s">
        <v>1974</v>
      </c>
      <c r="W1" s="211">
        <f>IF(ISERROR($L$1*1),0,TRUNC($L$1/4,0))</f>
        <v>0</v>
      </c>
      <c r="X1" s="46"/>
      <c r="Y1" s="46"/>
      <c r="AA1" s="35" t="s">
        <v>1189</v>
      </c>
      <c r="AB1" s="36" t="s">
        <v>149</v>
      </c>
      <c r="AC1" s="36" t="s">
        <v>1190</v>
      </c>
      <c r="AD1" s="36" t="s">
        <v>1191</v>
      </c>
      <c r="AE1" s="35" t="s">
        <v>1192</v>
      </c>
      <c r="AF1" s="46"/>
      <c r="AH1" s="46"/>
    </row>
    <row r="2" spans="1:36" s="38" customFormat="1" ht="15" customHeight="1" x14ac:dyDescent="0.2">
      <c r="A2" s="108" t="s">
        <v>181</v>
      </c>
      <c r="B2" s="113">
        <f>'Summary (P)'!O3</f>
        <v>0</v>
      </c>
      <c r="C2" s="113" t="str">
        <f>IF(Stats!$G$3-B2&lt;=I2,"Dead",IF(Stats!$G$3-B2&lt;1,"Uncon.",IF(AND(Stats!$G$3-B2&lt;5,Stats!$G$3&gt;B2),Stats!$G$3-B2&amp;"*WP","")))</f>
        <v/>
      </c>
      <c r="D2" s="113"/>
      <c r="E2" s="808" t="s">
        <v>230</v>
      </c>
      <c r="F2" s="808"/>
      <c r="G2" s="113">
        <f>TRUNC(Stats!$G$3/3,0)+1+Bonuses!BB3</f>
        <v>6</v>
      </c>
      <c r="H2" s="108" t="s">
        <v>229</v>
      </c>
      <c r="I2" s="113">
        <f>ROUND(Stats!$G$3*-0.5,0)+Bonuses!BE3</f>
        <v>-8</v>
      </c>
      <c r="J2" s="141" t="s">
        <v>272</v>
      </c>
      <c r="K2" s="140" t="s">
        <v>226</v>
      </c>
      <c r="L2" s="113" t="str">
        <f>IF(Skills!$H$27&lt;0,"Un",Skills!$H$27)</f>
        <v>Un</v>
      </c>
      <c r="M2" s="46"/>
      <c r="N2" s="46"/>
      <c r="O2" s="46"/>
      <c r="P2" s="46"/>
      <c r="Q2" s="46"/>
      <c r="S2" s="46"/>
      <c r="T2" s="46"/>
      <c r="U2" s="46"/>
      <c r="V2" s="46"/>
      <c r="W2" s="46"/>
      <c r="X2" s="46"/>
      <c r="Y2" s="46"/>
      <c r="AA2" s="38" t="s">
        <v>699</v>
      </c>
      <c r="AB2" s="107"/>
      <c r="AC2" s="46">
        <f>IF(AB2&lt;&gt;"",AB2+1,0)</f>
        <v>0</v>
      </c>
      <c r="AD2" s="46">
        <f>ROUND(AB2/2,0)</f>
        <v>0</v>
      </c>
      <c r="AE2" s="46">
        <f>AB2</f>
        <v>0</v>
      </c>
      <c r="AF2" s="46"/>
      <c r="AH2" s="46"/>
    </row>
    <row r="3" spans="1:36" s="38" customFormat="1" ht="15" customHeight="1" x14ac:dyDescent="0.15">
      <c r="A3" s="108" t="s">
        <v>182</v>
      </c>
      <c r="B3" s="811" t="str">
        <f>Stats!$I$3+IF(ISERROR(L2*2),0,L2*2)+Bonuses!$AI$3&amp;" + D10"</f>
        <v>5 + D10</v>
      </c>
      <c r="C3" s="811"/>
      <c r="D3" s="811"/>
      <c r="E3" s="808" t="s">
        <v>227</v>
      </c>
      <c r="F3" s="808"/>
      <c r="G3" s="113">
        <f>Stats!$H$3+Stats!$G$3+Bonuses!BC3</f>
        <v>35</v>
      </c>
      <c r="H3" s="108" t="s">
        <v>228</v>
      </c>
      <c r="I3" s="113">
        <f>Stats!$H$3+ROUND(Stats!$G$3*1.5,0)+Bonuses!BD3</f>
        <v>43</v>
      </c>
      <c r="J3" s="142" t="s">
        <v>186</v>
      </c>
      <c r="K3" s="142" t="s">
        <v>187</v>
      </c>
      <c r="L3" s="113"/>
      <c r="M3" s="46"/>
      <c r="N3" s="46"/>
      <c r="O3" s="46"/>
      <c r="Q3" s="46"/>
      <c r="R3" s="35" t="s">
        <v>1971</v>
      </c>
      <c r="S3" s="36" t="s">
        <v>200</v>
      </c>
      <c r="T3" s="36" t="s">
        <v>195</v>
      </c>
      <c r="U3" s="36" t="s">
        <v>110</v>
      </c>
      <c r="V3" s="753" t="s">
        <v>1972</v>
      </c>
      <c r="W3" s="46"/>
      <c r="X3" s="46"/>
      <c r="Y3" s="46"/>
      <c r="AA3" s="38" t="s">
        <v>1193</v>
      </c>
      <c r="AB3" s="107"/>
      <c r="AC3" s="46">
        <f>IF(AB3&lt;&gt;"",AB3+1,0)</f>
        <v>0</v>
      </c>
      <c r="AD3" s="46">
        <f>CEILING(AB3/3,1)</f>
        <v>0</v>
      </c>
      <c r="AE3" s="46"/>
      <c r="AF3" s="46"/>
      <c r="AH3" s="46"/>
    </row>
    <row r="4" spans="1:36" s="38" customFormat="1" ht="15" customHeight="1" x14ac:dyDescent="0.2">
      <c r="A4" s="108" t="s">
        <v>184</v>
      </c>
      <c r="B4" s="113">
        <f>Stats!$D$3+Bonuses!$AM$3</f>
        <v>11</v>
      </c>
      <c r="C4" s="113"/>
      <c r="D4" s="113">
        <f>B4+Bonuses!$AT$3+$T$1</f>
        <v>11</v>
      </c>
      <c r="E4" s="113">
        <f ca="1">$D4+$S4</f>
        <v>11</v>
      </c>
      <c r="F4" s="143" t="str">
        <f ca="1">"+"&amp;MIN(L7:L15)&amp;"-"&amp;MAX(L7:L15)</f>
        <v>+10-10</v>
      </c>
      <c r="G4" s="113">
        <f>$B4+Bonuses!$AW$3+$T$1</f>
        <v>11</v>
      </c>
      <c r="H4" s="144"/>
      <c r="I4" s="113">
        <f>$B4+Bonuses!$AZ$3</f>
        <v>11</v>
      </c>
      <c r="J4" s="113">
        <f ca="1">$I4+$S4</f>
        <v>11</v>
      </c>
      <c r="K4" s="145" t="s">
        <v>188</v>
      </c>
      <c r="L4" s="113"/>
      <c r="M4" s="46"/>
      <c r="N4" s="46"/>
      <c r="O4" s="46"/>
      <c r="Q4" s="809" t="s">
        <v>221</v>
      </c>
      <c r="R4" s="809"/>
      <c r="S4" s="113">
        <f ca="1">IF(Q4&gt;"",OFFSET(AA6,MATCH(Q4,AA7:AA20,0),2),0)</f>
        <v>0</v>
      </c>
      <c r="T4" s="46">
        <f>IFERROR(VLOOKUP($Q$4,$AA$7:$AJ$20,10,FALSE),0)</f>
        <v>5</v>
      </c>
      <c r="U4" s="46">
        <f>IFERROR(VLOOKUP($Q$4,$AA$7:$AI$20,9,FALSE),0)</f>
        <v>-2</v>
      </c>
      <c r="V4" s="117" t="s">
        <v>274</v>
      </c>
      <c r="W4" s="46"/>
      <c r="X4" s="46"/>
      <c r="Y4" s="46"/>
      <c r="AA4" s="38" t="s">
        <v>1194</v>
      </c>
      <c r="AB4" s="107"/>
      <c r="AC4" s="46">
        <f>IF(AB4&lt;&gt;"",AB4+1,0)</f>
        <v>0</v>
      </c>
      <c r="AD4" s="46">
        <f>IF(AB4&lt;&gt;"",1+CEILING(AB4/3,1),0)</f>
        <v>0</v>
      </c>
      <c r="AE4" s="46">
        <v>0</v>
      </c>
      <c r="AF4" s="46"/>
      <c r="AH4" s="46"/>
    </row>
    <row r="5" spans="1:36" x14ac:dyDescent="0.2">
      <c r="A5" s="146" t="s">
        <v>284</v>
      </c>
      <c r="B5" s="147" t="str">
        <f>Bonuses!$AN$3+Bonuses!AP3+Bonuses!AQ3&amp;" / "&amp;Bonuses!$AO$3+Bonuses!AP3+Bonuses!AQ3</f>
        <v>5 / 0</v>
      </c>
      <c r="C5" s="810" t="s">
        <v>185</v>
      </c>
      <c r="D5" s="810"/>
      <c r="E5" s="148" t="s">
        <v>186</v>
      </c>
      <c r="F5" s="148" t="s">
        <v>187</v>
      </c>
      <c r="G5" s="810" t="s">
        <v>177</v>
      </c>
      <c r="H5" s="810"/>
      <c r="I5" s="810" t="s">
        <v>176</v>
      </c>
      <c r="J5" s="810"/>
      <c r="K5" s="810"/>
      <c r="L5" s="111"/>
      <c r="R5" s="259"/>
      <c r="S5" s="260"/>
      <c r="T5" s="261"/>
      <c r="AA5" s="38" t="s">
        <v>738</v>
      </c>
      <c r="AB5" s="107"/>
      <c r="AC5" s="46">
        <f>IF(AB5&lt;&gt;"",AB5+1,0)</f>
        <v>0</v>
      </c>
      <c r="AD5" s="46">
        <f>IF(AB5&lt;&gt;"",1+TRUNC(AB5/3,0),0)</f>
        <v>0</v>
      </c>
      <c r="AE5" s="46">
        <f>AD5*3</f>
        <v>0</v>
      </c>
    </row>
    <row r="6" spans="1:36" s="33" customFormat="1" x14ac:dyDescent="0.2">
      <c r="A6" s="149" t="s">
        <v>166</v>
      </c>
      <c r="B6" s="109" t="s">
        <v>149</v>
      </c>
      <c r="C6" s="109" t="s">
        <v>129</v>
      </c>
      <c r="D6" s="109" t="s">
        <v>144</v>
      </c>
      <c r="E6" s="109" t="s">
        <v>167</v>
      </c>
      <c r="F6" s="109" t="s">
        <v>1</v>
      </c>
      <c r="G6" s="109" t="s">
        <v>129</v>
      </c>
      <c r="H6" s="109" t="s">
        <v>130</v>
      </c>
      <c r="I6" s="109" t="s">
        <v>168</v>
      </c>
      <c r="J6" s="109" t="s">
        <v>129</v>
      </c>
      <c r="K6" s="109" t="s">
        <v>130</v>
      </c>
      <c r="L6" s="109" t="s">
        <v>191</v>
      </c>
      <c r="M6" s="109" t="s">
        <v>3</v>
      </c>
      <c r="N6" s="109" t="s">
        <v>169</v>
      </c>
      <c r="O6" s="109" t="s">
        <v>170</v>
      </c>
      <c r="P6" s="109" t="s">
        <v>179</v>
      </c>
      <c r="Q6" s="109" t="s">
        <v>171</v>
      </c>
      <c r="R6" s="149" t="s">
        <v>172</v>
      </c>
      <c r="S6" s="109" t="s">
        <v>173</v>
      </c>
      <c r="T6" s="109" t="s">
        <v>175</v>
      </c>
      <c r="U6" s="109" t="s">
        <v>110</v>
      </c>
      <c r="V6" s="109" t="s">
        <v>174</v>
      </c>
      <c r="W6" s="109" t="s">
        <v>109</v>
      </c>
      <c r="X6" s="109" t="s">
        <v>174</v>
      </c>
      <c r="Y6" s="109" t="s">
        <v>178</v>
      </c>
      <c r="Z6" s="752" t="s">
        <v>606</v>
      </c>
      <c r="AA6" s="149" t="s">
        <v>218</v>
      </c>
      <c r="AB6" s="109" t="s">
        <v>149</v>
      </c>
      <c r="AC6" s="109" t="s">
        <v>200</v>
      </c>
      <c r="AD6" s="109" t="s">
        <v>219</v>
      </c>
      <c r="AE6" s="109" t="s">
        <v>225</v>
      </c>
      <c r="AF6" s="109" t="s">
        <v>171</v>
      </c>
      <c r="AG6" s="149" t="s">
        <v>166</v>
      </c>
      <c r="AH6" s="109" t="s">
        <v>149</v>
      </c>
      <c r="AI6" s="435" t="s">
        <v>1448</v>
      </c>
      <c r="AJ6" s="435" t="s">
        <v>1449</v>
      </c>
    </row>
    <row r="7" spans="1:36" s="38" customFormat="1" ht="15.95" customHeight="1" x14ac:dyDescent="0.2">
      <c r="A7" s="183" t="s">
        <v>74</v>
      </c>
      <c r="B7" s="113" t="str">
        <f ca="1">IF(ISERROR(S7*1),IF(ISERROR(T7*1),IF(Q7&gt;0,Q7-1,"Un"),T7+Q7),IF(ISERROR(T7*1),S7+Q7,MAX(S7:T7)+Q7))</f>
        <v>Un</v>
      </c>
      <c r="C7" s="113">
        <f ca="1">IF(ISERROR(SEARCH("M",$M7)),"",Stats!$D$3+Stats!$I$3+IF(ISERROR($B7*1),0,$B7)+Bonuses!$AJ$3+Bonuses!$AR$3+$N$1+$P7)</f>
        <v>16</v>
      </c>
      <c r="D7" s="113">
        <f ca="1">IF(ISERROR(SEARCH("M",$M7)),"",OFFSET(Weapons!$A$1,MATCH($R7,Weapons!$A$1:$A$199,0)-1,4)+IF(ISERROR(1*$B7),0,Stats!$C$3+4*$B7)+Bonuses!$AK$3+Bonuses!$AS$3+$P$1+$N7)</f>
        <v>22</v>
      </c>
      <c r="E7" s="113">
        <f ca="1">OFFSET(Weapons!$A$1,MATCH($R7,Weapons!$A$1:$A$199,0)-1,7)+IF(Stats!$B$3&gt;15,TRUNC((Stats!$B$3-15)/3),0)+IF(ISERROR(B7*1),0,TRUNC(B7/4))+$R$1+O7+Bonuses!$AL$3</f>
        <v>-4</v>
      </c>
      <c r="F7" s="113" t="str">
        <f ca="1">OFFSET(Weapons!$A$1,MATCH($R7,Weapons!$A$1:$A$199,0)-1,1)</f>
        <v>C</v>
      </c>
      <c r="G7" s="113">
        <f ca="1">IF(ISERROR(SEARCH("C",$M7)),"",Stats!$D$3+Stats!$I$3+IF(ISERROR($B7*1),0,$B7)+Bonuses!$AJ$3+Bonuses!$AU$3+$N$1+$P7)</f>
        <v>16</v>
      </c>
      <c r="H7" s="113">
        <f ca="1">IF(ISERROR(SEARCH("C",$M7)),"",OFFSET(Weapons!$A$1,MATCH($R7,Weapons!$A$1:$A$199,0)-1,4)+IF(ISERROR(1*$B7),0,Stats!$C$3+4*$B7)+Bonuses!$AK$3+Bonuses!$AV$3+$P$1+$N7)</f>
        <v>22</v>
      </c>
      <c r="I7" s="139" t="str">
        <f ca="1">IF(ISERROR(SEARCH("R",$M7)),"",OFFSET(Weapons!$A$1,MATCH($R7,Weapons!$A$1:$A$199,0)-1,2)&amp;" hx")</f>
        <v/>
      </c>
      <c r="J7" s="113" t="str">
        <f ca="1">IF(ISERROR(SEARCH("R",$M7)),"",Stats!$D$3+Stats!$I$3+IF(ISERROR($B7*1),0,$B7)+Bonuses!$AJ$3+Bonuses!$AX$3+$N$1+$P7)</f>
        <v/>
      </c>
      <c r="K7" s="113" t="str">
        <f ca="1">IF(ISERROR(SEARCH("R",$M7)),"",OFFSET(Weapons!$A$1,MATCH($R7,Weapons!$A$1:$A$199,0)-1,4)+IF(ISERROR(1*$B7),0,Stats!$C$3+4*$B7)+Bonuses!$AK$3+Bonuses!$AY$3+$P$1+$N7)</f>
        <v/>
      </c>
      <c r="L7" s="113">
        <f ca="1">10+IF(ISERROR($B7*1),0,$B7*4)</f>
        <v>10</v>
      </c>
      <c r="M7" s="113" t="str">
        <f ca="1">OFFSET(Weapons!$A$1,MATCH($R7,Weapons!$A$1:$A$199,0)-1,3)</f>
        <v>MC</v>
      </c>
      <c r="N7" s="107"/>
      <c r="O7" s="158"/>
      <c r="P7" s="107"/>
      <c r="Q7" s="158"/>
      <c r="R7" s="183" t="s">
        <v>74</v>
      </c>
      <c r="S7" s="113" t="str">
        <f ca="1">OFFSET(Weapons!$A$1,MATCH($R7,Weapons!$A$1:$A$199,0)-1,9)</f>
        <v>Un</v>
      </c>
      <c r="T7" s="113" t="str">
        <f ca="1">OFFSET(Weapons!$P$2,MATCH($R7,Weapons!$N$1:$N$199,0)-3,0)</f>
        <v>Un</v>
      </c>
      <c r="U7" s="113">
        <f ca="1">OFFSET(Weapons!$A$1,MATCH($R7,Weapons!$A$1:$A$199,0)-1,6)</f>
        <v>1</v>
      </c>
      <c r="V7" s="113">
        <f ca="1">Stats!$C$3-U7</f>
        <v>12</v>
      </c>
      <c r="W7" s="113">
        <f ca="1">OFFSET(Weapons!$A$1,MATCH($R7,Weapons!$A$1:$A$199,0)-1,5)</f>
        <v>1</v>
      </c>
      <c r="X7" s="113">
        <f ca="1">Stats!$B$3-W7</f>
        <v>14</v>
      </c>
      <c r="Y7" s="113"/>
      <c r="Z7" s="46">
        <f ca="1">OFFSET(Weapons!$A$1,MATCH($R7,Weapons!$A$1:$A$199,0)-1,11)</f>
        <v>0</v>
      </c>
      <c r="AA7" s="112" t="s">
        <v>50</v>
      </c>
      <c r="AB7" s="113" t="str">
        <f ca="1">IF(ISERROR(AH7*1),"Un",AH7+AF7)</f>
        <v>Un</v>
      </c>
      <c r="AC7" s="113">
        <f ca="1">IF(ISERROR(AB7*1),0,AD7+AE7*(1+AB7))</f>
        <v>0</v>
      </c>
      <c r="AD7" s="113">
        <v>0</v>
      </c>
      <c r="AE7" s="113">
        <v>2</v>
      </c>
      <c r="AF7" s="113"/>
      <c r="AG7" s="112" t="s">
        <v>50</v>
      </c>
      <c r="AH7" s="113" t="str">
        <f ca="1">OFFSET(Weapons!$A$1,MATCH($AG7,Weapons!$A$1:$A$199,0)-1,9)</f>
        <v>Un</v>
      </c>
      <c r="AI7" s="113">
        <v>0</v>
      </c>
      <c r="AJ7" s="113">
        <v>1</v>
      </c>
    </row>
    <row r="8" spans="1:36" s="38" customFormat="1" ht="15.95" customHeight="1" x14ac:dyDescent="0.2">
      <c r="A8" s="183" t="str">
        <f>IF(V4="Y",Q4,"Shield Not Equipped")</f>
        <v>Small Round</v>
      </c>
      <c r="B8" s="113" t="str">
        <f t="shared" ref="B8:B26" ca="1" si="0">IF(ISERROR(S8*1),IF(ISERROR(T8*1),IF(Q8&gt;0,Q8-1,"Un"),T8+Q8),IF(ISERROR(T8*1),S8+Q8,MAX(S8:T8)+Q8))</f>
        <v>Un</v>
      </c>
      <c r="C8" s="113">
        <f ca="1">IF(ISERROR(SEARCH("M",$M8)),"",Stats!$D$3+Stats!$I$3+IF(ISERROR($B8*1),0,$B8)+Bonuses!$AJ$3+Bonuses!$AR$3+$N$1+$P8)</f>
        <v>16</v>
      </c>
      <c r="D8" s="113">
        <f ca="1">IF(ISERROR(SEARCH("M",$M8)),"",OFFSET(Weapons!$A$1,MATCH($R8,Weapons!$A$1:$A$199,0)-1,4)+IF(ISERROR(1*$B8),0,Stats!$C$3+4*$B8)+Bonuses!$AK$3+Bonuses!$AS$3+$P$1+$N8)</f>
        <v>40</v>
      </c>
      <c r="E8" s="113">
        <f ca="1">OFFSET(Weapons!$A$1,MATCH($R8,Weapons!$A$1:$A$199,0)-1,7)+Y8+IF("R"=$M8,0,$R$1)+O8+Bonuses!$AL$3</f>
        <v>-1</v>
      </c>
      <c r="F8" s="113" t="str">
        <f ca="1">OFFSET(Weapons!$A$1,MATCH($R8,Weapons!$A$1:$A$199,0)-1,1)</f>
        <v>C</v>
      </c>
      <c r="G8" s="113" t="str">
        <f ca="1">IF(ISERROR(SEARCH("C",$M8)),"",Stats!$D$3+Stats!$I$3+IF(ISERROR($B8*1),0,$B8)+Bonuses!$AJ$3+Bonuses!$AU$3+$N$1+$P8)</f>
        <v/>
      </c>
      <c r="H8" s="113" t="str">
        <f ca="1">IF(ISERROR(SEARCH("C",$M8)),"",OFFSET(Weapons!$A$1,MATCH($R8,Weapons!$A$1:$A$199,0)-1,4)+IF(ISERROR(1*$B8),0,Stats!$C$3+4*$B8)+Bonuses!$AK$3+Bonuses!$AV$3+$P$1+$N8)</f>
        <v/>
      </c>
      <c r="I8" s="139" t="str">
        <f ca="1">IF(ISERROR(SEARCH("R",$M8)),"",OFFSET(Weapons!$A$1,MATCH($R8,Weapons!$A$1:$A$199,0)-1,2)&amp;" hx")</f>
        <v/>
      </c>
      <c r="J8" s="113" t="str">
        <f ca="1">IF(ISERROR(SEARCH("R",$M8)),"",Stats!$D$3+Stats!$I$3+IF(ISERROR($B8*1),0,$B8)+Bonuses!$AJ$3+Bonuses!$AX$3+$N$1+$P8)</f>
        <v/>
      </c>
      <c r="K8" s="113" t="str">
        <f ca="1">IF(ISERROR(SEARCH("R",$M8)),"",OFFSET(Weapons!$A$1,MATCH($R8,Weapons!$A$1:$A$199,0)-1,4)+IF(ISERROR(1*$B8),0,Stats!$C$3+4*$B8)+Bonuses!$AK$3+Bonuses!$AY$3+$P$1+$N8)</f>
        <v/>
      </c>
      <c r="L8" s="113">
        <f t="shared" ref="L8:L26" ca="1" si="1">10+IF(ISERROR($B8*1),0,$B8*4)</f>
        <v>10</v>
      </c>
      <c r="M8" s="113" t="str">
        <f ca="1">OFFSET(Weapons!$A$1,MATCH($R8,Weapons!$A$1:$A$199,0)-1,3)</f>
        <v>M</v>
      </c>
      <c r="N8" s="107"/>
      <c r="O8" s="158"/>
      <c r="P8" s="107"/>
      <c r="Q8" s="158"/>
      <c r="R8" s="183" t="s">
        <v>63</v>
      </c>
      <c r="S8" s="113" t="str">
        <f ca="1">OFFSET(Weapons!$A$1,MATCH($R8,Weapons!$A$1:$A$199,0)-1,9)</f>
        <v>Un</v>
      </c>
      <c r="T8" s="113" t="str">
        <f ca="1">OFFSET(Weapons!$P$2,MATCH($R8,Weapons!$N$1:$N$199,0)-3,0)</f>
        <v>Un</v>
      </c>
      <c r="U8" s="113">
        <f ca="1">OFFSET(Weapons!$A$1,MATCH($R8,Weapons!$A$1:$A$199,0)-1,6)</f>
        <v>12</v>
      </c>
      <c r="V8" s="113">
        <f ca="1">Stats!$C$3-U8</f>
        <v>1</v>
      </c>
      <c r="W8" s="113">
        <f ca="1">OFFSET(Weapons!$A$1,MATCH($R8,Weapons!$A$1:$A$199,0)-1,5)</f>
        <v>10</v>
      </c>
      <c r="X8" s="113">
        <f ca="1">Stats!$B$3-W8</f>
        <v>5</v>
      </c>
      <c r="Y8" s="113">
        <f ca="1">MAX(TRUNC(X8/5,0),IF(ISERROR(B8*1),0,TRUNC(B8/4,0)))+MIN(0,X8)</f>
        <v>1</v>
      </c>
      <c r="Z8" s="46">
        <f ca="1">OFFSET(Weapons!$A$1,MATCH($R8,Weapons!$A$1:$A$199,0)-1,11)</f>
        <v>0</v>
      </c>
      <c r="AA8" s="112" t="s">
        <v>220</v>
      </c>
      <c r="AB8" s="113" t="str">
        <f t="shared" ref="AB8:AB20" ca="1" si="2">IF(ISERROR(AH8*1),"Un",AH8+AF8)</f>
        <v>Un</v>
      </c>
      <c r="AC8" s="113">
        <f t="shared" ref="AC8:AC20" ca="1" si="3">IF(ISERROR(AB8*1),0,AD8+AE8*(1+AB8))</f>
        <v>0</v>
      </c>
      <c r="AD8" s="113">
        <v>0</v>
      </c>
      <c r="AE8" s="113">
        <v>2</v>
      </c>
      <c r="AF8" s="113"/>
      <c r="AG8" s="112" t="s">
        <v>63</v>
      </c>
      <c r="AH8" s="113" t="str">
        <f ca="1">OFFSET(Weapons!$A$1,MATCH($AG8,Weapons!$A$1:$A$199,0)-1,9)</f>
        <v>Un</v>
      </c>
      <c r="AI8" s="113">
        <v>0</v>
      </c>
      <c r="AJ8" s="113">
        <v>3</v>
      </c>
    </row>
    <row r="9" spans="1:36" s="38" customFormat="1" ht="15.95" customHeight="1" x14ac:dyDescent="0.2">
      <c r="A9" s="157" t="str">
        <f t="shared" ref="A9:A26" si="4">R9</f>
        <v>Battle Axe</v>
      </c>
      <c r="B9" s="113" t="str">
        <f t="shared" ca="1" si="0"/>
        <v>Un</v>
      </c>
      <c r="C9" s="113">
        <f ca="1">IF(ISERROR(SEARCH("M",$M9)),"",Stats!$D$3+Stats!$I$3+IF(ISERROR($B9*1),0,$B9)+Bonuses!$AJ$3+Bonuses!$AR$3+$N$1+$P9)</f>
        <v>16</v>
      </c>
      <c r="D9" s="113">
        <f ca="1">IF(ISERROR(SEARCH("M",$M9)),"",OFFSET(Weapons!$A$1,MATCH($R9,Weapons!$A$1:$A$199,0)-1,4)+IF(ISERROR(1*$B9),0,Stats!$C$3+4*$B9)+Bonuses!$AK$3+Bonuses!$AS$3+$P$1+$N9)</f>
        <v>60</v>
      </c>
      <c r="E9" s="113">
        <f ca="1">OFFSET(Weapons!$A$1,MATCH($R9,Weapons!$A$1:$A$199,0)-1,7)+Y9+IF("R"=$M9,0,$R$1)+O9+Bonuses!$AL$3</f>
        <v>4</v>
      </c>
      <c r="F9" s="113" t="str">
        <f ca="1">OFFSET(Weapons!$A$1,MATCH($R9,Weapons!$A$1:$A$199,0)-1,1)</f>
        <v>B</v>
      </c>
      <c r="G9" s="113" t="str">
        <f ca="1">IF(ISERROR(SEARCH("C",$M9)),"",Stats!$D$3+Stats!$I$3+IF(ISERROR($B9*1),0,$B9)+Bonuses!$AJ$3+Bonuses!$AU$3+$N$1+$P9)</f>
        <v/>
      </c>
      <c r="H9" s="113" t="str">
        <f ca="1">IF(ISERROR(SEARCH("C",$M9)),"",OFFSET(Weapons!$A$1,MATCH($R9,Weapons!$A$1:$A$199,0)-1,4)+IF(ISERROR(1*$B9),0,Stats!$C$3+4*$B9)+Bonuses!$AK$3+Bonuses!$AV$3+$P$1+$N9)</f>
        <v/>
      </c>
      <c r="I9" s="139" t="str">
        <f ca="1">IF(ISERROR(SEARCH("R",$M9)),"",OFFSET(Weapons!$A$1,MATCH($R9,Weapons!$A$1:$A$199,0)-1,2)&amp;" hx")</f>
        <v>6 hx</v>
      </c>
      <c r="J9" s="113">
        <f ca="1">IF(ISERROR(SEARCH("R",$M9)),"",Stats!$D$3+Stats!$I$3+IF(ISERROR($B9*1),0,$B9)+Bonuses!$AJ$3+Bonuses!$AX$3+$N$1+$P9)</f>
        <v>16</v>
      </c>
      <c r="K9" s="113">
        <f ca="1">IF(ISERROR(SEARCH("R",$M9)),"",OFFSET(Weapons!$A$1,MATCH($R9,Weapons!$A$1:$A$199,0)-1,4)+IF(ISERROR(1*$B9),0,Stats!$C$3+4*$B9)+Bonuses!$AK$3+Bonuses!$AY$3+$P$1+$N9)</f>
        <v>60</v>
      </c>
      <c r="L9" s="113">
        <f t="shared" ca="1" si="1"/>
        <v>10</v>
      </c>
      <c r="M9" s="113" t="str">
        <f ca="1">OFFSET(Weapons!$A$1,MATCH($R9,Weapons!$A$1:$A$199,0)-1,3)</f>
        <v>RM</v>
      </c>
      <c r="N9" s="107"/>
      <c r="O9" s="158"/>
      <c r="P9" s="107"/>
      <c r="Q9" s="158"/>
      <c r="R9" s="157" t="s">
        <v>8</v>
      </c>
      <c r="S9" s="113" t="str">
        <f ca="1">OFFSET(Weapons!$A$1,MATCH($R9,Weapons!$A$1:$A$199,0)-1,9)</f>
        <v>Un</v>
      </c>
      <c r="T9" s="113" t="str">
        <f ca="1">OFFSET(Weapons!$P$2,MATCH($R9,Weapons!$N$1:$N$199,0)-3,0)</f>
        <v>Un</v>
      </c>
      <c r="U9" s="113">
        <f ca="1">OFFSET(Weapons!$A$1,MATCH($R9,Weapons!$A$1:$A$199,0)-1,6)</f>
        <v>14</v>
      </c>
      <c r="V9" s="113">
        <f ca="1">Stats!$C$3-U9</f>
        <v>-1</v>
      </c>
      <c r="W9" s="113">
        <f ca="1">OFFSET(Weapons!$A$1,MATCH($R9,Weapons!$A$1:$A$199,0)-1,5)</f>
        <v>14</v>
      </c>
      <c r="X9" s="113">
        <f ca="1">Stats!$B$3-W9</f>
        <v>1</v>
      </c>
      <c r="Y9" s="113">
        <f t="shared" ref="Y9:Y26" ca="1" si="5">MAX(TRUNC(X9/5,0),IF(ISERROR(B9*1),0,TRUNC(B9/4,0)))+MIN(0,X9)</f>
        <v>0</v>
      </c>
      <c r="Z9" s="46" t="str">
        <f ca="1">OFFSET(Weapons!$A$1,MATCH($R9,Weapons!$A$1:$A$199,0)-1,11)</f>
        <v>1-2</v>
      </c>
      <c r="AA9" s="112" t="s">
        <v>221</v>
      </c>
      <c r="AB9" s="113" t="str">
        <f t="shared" ca="1" si="2"/>
        <v>Un</v>
      </c>
      <c r="AC9" s="113">
        <f t="shared" ca="1" si="3"/>
        <v>0</v>
      </c>
      <c r="AD9" s="113">
        <v>0</v>
      </c>
      <c r="AE9" s="113">
        <v>3</v>
      </c>
      <c r="AF9" s="113"/>
      <c r="AG9" s="112" t="s">
        <v>63</v>
      </c>
      <c r="AH9" s="113" t="str">
        <f ca="1">OFFSET(Weapons!$A$1,MATCH($AG9,Weapons!$A$1:$A$199,0)-1,9)</f>
        <v>Un</v>
      </c>
      <c r="AI9" s="113">
        <v>-2</v>
      </c>
      <c r="AJ9" s="113">
        <v>5</v>
      </c>
    </row>
    <row r="10" spans="1:36" s="38" customFormat="1" ht="15.95" customHeight="1" x14ac:dyDescent="0.2">
      <c r="A10" s="157" t="str">
        <f t="shared" si="4"/>
        <v>Falchion</v>
      </c>
      <c r="B10" s="113" t="str">
        <f t="shared" ca="1" si="0"/>
        <v>Un</v>
      </c>
      <c r="C10" s="113">
        <f ca="1">IF(ISERROR(SEARCH("M",$M10)),"",Stats!$D$3+Stats!$I$3+IF(ISERROR($B10*1),0,$B10)+Bonuses!$AJ$3+Bonuses!$AR$3+$N$1+$P10)</f>
        <v>16</v>
      </c>
      <c r="D10" s="113">
        <f ca="1">IF(ISERROR(SEARCH("M",$M10)),"",OFFSET(Weapons!$A$1,MATCH($R10,Weapons!$A$1:$A$199,0)-1,4)+IF(ISERROR(1*$B10),0,Stats!$C$3+4*$B10)+Bonuses!$AK$3+Bonuses!$AS$3+$P$1+$N10)</f>
        <v>50</v>
      </c>
      <c r="E10" s="113">
        <f ca="1">OFFSET(Weapons!$A$1,MATCH($R10,Weapons!$A$1:$A$199,0)-1,7)+Y10+IF("R"=$M10,0,$R$1)+O10+Bonuses!$AL$3</f>
        <v>2</v>
      </c>
      <c r="F10" s="113" t="str">
        <f ca="1">OFFSET(Weapons!$A$1,MATCH($R10,Weapons!$A$1:$A$199,0)-1,1)</f>
        <v>B</v>
      </c>
      <c r="G10" s="113" t="str">
        <f ca="1">IF(ISERROR(SEARCH("C",$M10)),"",Stats!$D$3+Stats!$I$3+IF(ISERROR($B10*1),0,$B10)+Bonuses!$AJ$3+Bonuses!$AU$3+$N$1+$P10)</f>
        <v/>
      </c>
      <c r="H10" s="113" t="str">
        <f ca="1">IF(ISERROR(SEARCH("C",$M10)),"",OFFSET(Weapons!$A$1,MATCH($R10,Weapons!$A$1:$A$199,0)-1,4)+IF(ISERROR(1*$B10),0,Stats!$C$3+4*$B10)+Bonuses!$AK$3+Bonuses!$AV$3+$P$1+$N10)</f>
        <v/>
      </c>
      <c r="I10" s="139" t="str">
        <f ca="1">IF(ISERROR(SEARCH("R",$M10)),"",OFFSET(Weapons!$A$1,MATCH($R10,Weapons!$A$1:$A$199,0)-1,2)&amp;" hx")</f>
        <v/>
      </c>
      <c r="J10" s="113" t="str">
        <f ca="1">IF(ISERROR(SEARCH("R",$M10)),"",Stats!$D$3+Stats!$I$3+IF(ISERROR($B10*1),0,$B10)+Bonuses!$AJ$3+Bonuses!$AX$3+$N$1+$P10)</f>
        <v/>
      </c>
      <c r="K10" s="113" t="str">
        <f ca="1">IF(ISERROR(SEARCH("R",$M10)),"",OFFSET(Weapons!$A$1,MATCH($R10,Weapons!$A$1:$A$199,0)-1,4)+IF(ISERROR(1*$B10),0,Stats!$C$3+4*$B10)+Bonuses!$AK$3+Bonuses!$AY$3+$P$1+$N10)</f>
        <v/>
      </c>
      <c r="L10" s="113">
        <f t="shared" ca="1" si="1"/>
        <v>10</v>
      </c>
      <c r="M10" s="113" t="str">
        <f ca="1">OFFSET(Weapons!$A$1,MATCH($R10,Weapons!$A$1:$A$199,0)-1,3)</f>
        <v>M</v>
      </c>
      <c r="N10" s="107"/>
      <c r="O10" s="158"/>
      <c r="P10" s="107"/>
      <c r="Q10" s="158"/>
      <c r="R10" s="157" t="s">
        <v>29</v>
      </c>
      <c r="S10" s="113" t="str">
        <f ca="1">OFFSET(Weapons!$A$1,MATCH($R10,Weapons!$A$1:$A$199,0)-1,9)</f>
        <v>Un</v>
      </c>
      <c r="T10" s="113" t="str">
        <f ca="1">OFFSET(Weapons!$P$2,MATCH($R10,Weapons!$N$1:$N$199,0)-3,0)</f>
        <v>Un</v>
      </c>
      <c r="U10" s="113">
        <f ca="1">OFFSET(Weapons!$A$1,MATCH($R10,Weapons!$A$1:$A$199,0)-1,6)</f>
        <v>11</v>
      </c>
      <c r="V10" s="113">
        <f ca="1">Stats!$C$3-U10</f>
        <v>2</v>
      </c>
      <c r="W10" s="113">
        <f ca="1">OFFSET(Weapons!$A$1,MATCH($R10,Weapons!$A$1:$A$199,0)-1,5)</f>
        <v>12</v>
      </c>
      <c r="X10" s="113">
        <f ca="1">Stats!$B$3-W10</f>
        <v>3</v>
      </c>
      <c r="Y10" s="113">
        <f t="shared" ca="1" si="5"/>
        <v>0</v>
      </c>
      <c r="Z10" s="46">
        <f ca="1">OFFSET(Weapons!$A$1,MATCH($R10,Weapons!$A$1:$A$199,0)-1,11)</f>
        <v>0</v>
      </c>
      <c r="AA10" s="112" t="s">
        <v>222</v>
      </c>
      <c r="AB10" s="113" t="str">
        <f t="shared" ca="1" si="2"/>
        <v>Un</v>
      </c>
      <c r="AC10" s="113">
        <f t="shared" ca="1" si="3"/>
        <v>0</v>
      </c>
      <c r="AD10" s="113">
        <v>0</v>
      </c>
      <c r="AE10" s="113">
        <v>4</v>
      </c>
      <c r="AF10" s="113"/>
      <c r="AG10" s="112" t="s">
        <v>63</v>
      </c>
      <c r="AH10" s="113" t="str">
        <f ca="1">OFFSET(Weapons!$A$1,MATCH($AG10,Weapons!$A$1:$A$199,0)-1,9)</f>
        <v>Un</v>
      </c>
      <c r="AI10" s="113">
        <v>-3</v>
      </c>
      <c r="AJ10" s="113">
        <v>10</v>
      </c>
    </row>
    <row r="11" spans="1:36" s="38" customFormat="1" ht="15.95" customHeight="1" x14ac:dyDescent="0.2">
      <c r="A11" s="157" t="str">
        <f t="shared" si="4"/>
        <v>Dagger</v>
      </c>
      <c r="B11" s="113" t="str">
        <f t="shared" ca="1" si="0"/>
        <v>Un</v>
      </c>
      <c r="C11" s="113">
        <f ca="1">IF(ISERROR(SEARCH("M",$M11)),"",Stats!$D$3+Stats!$I$3+IF(ISERROR($B11*1),0,$B11)+Bonuses!$AJ$3+Bonuses!$AR$3+$N$1+$P11)</f>
        <v>16</v>
      </c>
      <c r="D11" s="113">
        <f ca="1">IF(ISERROR(SEARCH("M",$M11)),"",OFFSET(Weapons!$A$1,MATCH($R11,Weapons!$A$1:$A$199,0)-1,4)+IF(ISERROR(1*$B11),0,Stats!$C$3+4*$B11)+Bonuses!$AK$3+Bonuses!$AS$3+$P$1+$N11)</f>
        <v>40</v>
      </c>
      <c r="E11" s="113">
        <f ca="1">OFFSET(Weapons!$A$1,MATCH($R11,Weapons!$A$1:$A$199,0)-1,7)+Y11+IF("R"=$M11,0,$R$1)+O11+Bonuses!$AL$3</f>
        <v>1</v>
      </c>
      <c r="F11" s="113" t="str">
        <f ca="1">OFFSET(Weapons!$A$1,MATCH($R11,Weapons!$A$1:$A$199,0)-1,1)</f>
        <v>A</v>
      </c>
      <c r="G11" s="113">
        <f ca="1">IF(ISERROR(SEARCH("C",$M11)),"",Stats!$D$3+Stats!$I$3+IF(ISERROR($B11*1),0,$B11)+Bonuses!$AJ$3+Bonuses!$AU$3+$N$1+$P11)</f>
        <v>16</v>
      </c>
      <c r="H11" s="113">
        <f ca="1">IF(ISERROR(SEARCH("C",$M11)),"",OFFSET(Weapons!$A$1,MATCH($R11,Weapons!$A$1:$A$199,0)-1,4)+IF(ISERROR(1*$B11),0,Stats!$C$3+4*$B11)+Bonuses!$AK$3+Bonuses!$AV$3+$P$1+$N11)</f>
        <v>40</v>
      </c>
      <c r="I11" s="139" t="str">
        <f ca="1">IF(ISERROR(SEARCH("R",$M11)),"",OFFSET(Weapons!$A$1,MATCH($R11,Weapons!$A$1:$A$199,0)-1,2)&amp;" hx")</f>
        <v>8 hx</v>
      </c>
      <c r="J11" s="113">
        <f ca="1">IF(ISERROR(SEARCH("R",$M11)),"",Stats!$D$3+Stats!$I$3+IF(ISERROR($B11*1),0,$B11)+Bonuses!$AJ$3+Bonuses!$AX$3+$N$1+$P11)</f>
        <v>16</v>
      </c>
      <c r="K11" s="113">
        <f ca="1">IF(ISERROR(SEARCH("R",$M11)),"",OFFSET(Weapons!$A$1,MATCH($R11,Weapons!$A$1:$A$199,0)-1,4)+IF(ISERROR(1*$B11),0,Stats!$C$3+4*$B11)+Bonuses!$AK$3+Bonuses!$AY$3+$P$1+$N11)</f>
        <v>40</v>
      </c>
      <c r="L11" s="113">
        <f t="shared" ca="1" si="1"/>
        <v>10</v>
      </c>
      <c r="M11" s="113" t="str">
        <f ca="1">OFFSET(Weapons!$A$1,MATCH($R11,Weapons!$A$1:$A$199,0)-1,3)</f>
        <v>RMC</v>
      </c>
      <c r="N11" s="107"/>
      <c r="O11" s="158"/>
      <c r="P11" s="107"/>
      <c r="Q11" s="158"/>
      <c r="R11" s="157" t="s">
        <v>26</v>
      </c>
      <c r="S11" s="113" t="str">
        <f ca="1">OFFSET(Weapons!$A$1,MATCH($R11,Weapons!$A$1:$A$199,0)-1,9)</f>
        <v>Un</v>
      </c>
      <c r="T11" s="113" t="str">
        <f ca="1">OFFSET(Weapons!$P$2,MATCH($R11,Weapons!$N$1:$N$199,0)-3,0)</f>
        <v>Un</v>
      </c>
      <c r="U11" s="113">
        <f ca="1">OFFSET(Weapons!$A$1,MATCH($R11,Weapons!$A$1:$A$199,0)-1,6)</f>
        <v>10</v>
      </c>
      <c r="V11" s="113">
        <f ca="1">Stats!$C$3-U11</f>
        <v>3</v>
      </c>
      <c r="W11" s="113">
        <f ca="1">OFFSET(Weapons!$A$1,MATCH($R11,Weapons!$A$1:$A$199,0)-1,5)</f>
        <v>7</v>
      </c>
      <c r="X11" s="113">
        <f ca="1">Stats!$B$3-W11</f>
        <v>8</v>
      </c>
      <c r="Y11" s="113">
        <f t="shared" ca="1" si="5"/>
        <v>1</v>
      </c>
      <c r="Z11" s="46">
        <f ca="1">OFFSET(Weapons!$A$1,MATCH($R11,Weapons!$A$1:$A$199,0)-1,11)</f>
        <v>0</v>
      </c>
      <c r="AA11" s="112" t="s">
        <v>223</v>
      </c>
      <c r="AB11" s="113" t="str">
        <f t="shared" ca="1" si="2"/>
        <v>Un</v>
      </c>
      <c r="AC11" s="113">
        <f t="shared" ca="1" si="3"/>
        <v>0</v>
      </c>
      <c r="AD11" s="113">
        <v>0</v>
      </c>
      <c r="AE11" s="113">
        <v>5</v>
      </c>
      <c r="AF11" s="113"/>
      <c r="AG11" s="112" t="s">
        <v>63</v>
      </c>
      <c r="AH11" s="113" t="str">
        <f ca="1">OFFSET(Weapons!$A$1,MATCH($AG11,Weapons!$A$1:$A$199,0)-1,9)</f>
        <v>Un</v>
      </c>
      <c r="AI11" s="113">
        <v>-4</v>
      </c>
      <c r="AJ11" s="113">
        <v>15</v>
      </c>
    </row>
    <row r="12" spans="1:36" s="38" customFormat="1" ht="15.95" customHeight="1" x14ac:dyDescent="0.2">
      <c r="A12" s="157" t="str">
        <f t="shared" si="4"/>
        <v>Tulwar</v>
      </c>
      <c r="B12" s="113" t="str">
        <f t="shared" ca="1" si="0"/>
        <v>Un</v>
      </c>
      <c r="C12" s="113">
        <f ca="1">IF(ISERROR(SEARCH("M",$M12)),"",Stats!$D$3+Stats!$I$3+IF(ISERROR($B12*1),0,$B12)+Bonuses!$AJ$3+Bonuses!$AR$3+$N$1+$P12)</f>
        <v>16</v>
      </c>
      <c r="D12" s="113">
        <f ca="1">IF(ISERROR(SEARCH("M",$M12)),"",OFFSET(Weapons!$A$1,MATCH($R12,Weapons!$A$1:$A$199,0)-1,4)+IF(ISERROR(1*$B12),0,Stats!$C$3+4*$B12)+Bonuses!$AK$3+Bonuses!$AS$3+$P$1+$N12)</f>
        <v>50</v>
      </c>
      <c r="E12" s="113">
        <f ca="1">OFFSET(Weapons!$A$1,MATCH($R12,Weapons!$A$1:$A$199,0)-1,7)+Y12+IF("R"=$M12,0,$R$1)+O12+Bonuses!$AL$3</f>
        <v>4</v>
      </c>
      <c r="F12" s="113" t="str">
        <f ca="1">OFFSET(Weapons!$A$1,MATCH($R12,Weapons!$A$1:$A$199,0)-1,1)</f>
        <v>B</v>
      </c>
      <c r="G12" s="113" t="str">
        <f ca="1">IF(ISERROR(SEARCH("C",$M12)),"",Stats!$D$3+Stats!$I$3+IF(ISERROR($B12*1),0,$B12)+Bonuses!$AJ$3+Bonuses!$AU$3+$N$1+$P12)</f>
        <v/>
      </c>
      <c r="H12" s="113" t="str">
        <f ca="1">IF(ISERROR(SEARCH("C",$M12)),"",OFFSET(Weapons!$A$1,MATCH($R12,Weapons!$A$1:$A$199,0)-1,4)+IF(ISERROR(1*$B12),0,Stats!$C$3+4*$B12)+Bonuses!$AK$3+Bonuses!$AV$3+$P$1+$N12)</f>
        <v/>
      </c>
      <c r="I12" s="139" t="str">
        <f ca="1">IF(ISERROR(SEARCH("R",$M12)),"",OFFSET(Weapons!$A$1,MATCH($R12,Weapons!$A$1:$A$199,0)-1,2)&amp;" hx")</f>
        <v/>
      </c>
      <c r="J12" s="113" t="str">
        <f ca="1">IF(ISERROR(SEARCH("R",$M12)),"",Stats!$D$3+Stats!$I$3+IF(ISERROR($B12*1),0,$B12)+Bonuses!$AJ$3+Bonuses!$AX$3+$N$1+$P12)</f>
        <v/>
      </c>
      <c r="K12" s="113" t="str">
        <f ca="1">IF(ISERROR(SEARCH("R",$M12)),"",OFFSET(Weapons!$A$1,MATCH($R12,Weapons!$A$1:$A$199,0)-1,4)+IF(ISERROR(1*$B12),0,Stats!$C$3+4*$B12)+Bonuses!$AK$3+Bonuses!$AY$3+$P$1+$N12)</f>
        <v/>
      </c>
      <c r="L12" s="113">
        <f t="shared" ca="1" si="1"/>
        <v>10</v>
      </c>
      <c r="M12" s="113" t="str">
        <f ca="1">OFFSET(Weapons!$A$1,MATCH($R12,Weapons!$A$1:$A$199,0)-1,3)</f>
        <v>M</v>
      </c>
      <c r="N12" s="107"/>
      <c r="O12" s="158"/>
      <c r="P12" s="107"/>
      <c r="Q12" s="158"/>
      <c r="R12" s="157" t="s">
        <v>72</v>
      </c>
      <c r="S12" s="113" t="str">
        <f ca="1">OFFSET(Weapons!$A$1,MATCH($R12,Weapons!$A$1:$A$199,0)-1,9)</f>
        <v>Un</v>
      </c>
      <c r="T12" s="113" t="str">
        <f ca="1">OFFSET(Weapons!$P$2,MATCH($R12,Weapons!$N$1:$N$199,0)-3,0)</f>
        <v>Un</v>
      </c>
      <c r="U12" s="113">
        <f ca="1">OFFSET(Weapons!$A$1,MATCH($R12,Weapons!$A$1:$A$199,0)-1,6)</f>
        <v>15</v>
      </c>
      <c r="V12" s="113">
        <f ca="1">Stats!$C$3-U12</f>
        <v>-2</v>
      </c>
      <c r="W12" s="113">
        <f ca="1">OFFSET(Weapons!$A$1,MATCH($R12,Weapons!$A$1:$A$199,0)-1,5)</f>
        <v>13</v>
      </c>
      <c r="X12" s="113">
        <f ca="1">Stats!$B$3-W12</f>
        <v>2</v>
      </c>
      <c r="Y12" s="113">
        <f t="shared" ca="1" si="5"/>
        <v>0</v>
      </c>
      <c r="Z12" s="46">
        <f ca="1">OFFSET(Weapons!$A$1,MATCH($R12,Weapons!$A$1:$A$199,0)-1,11)</f>
        <v>0</v>
      </c>
      <c r="AA12" s="112" t="s">
        <v>224</v>
      </c>
      <c r="AB12" s="113" t="str">
        <f t="shared" ca="1" si="2"/>
        <v>Un</v>
      </c>
      <c r="AC12" s="113">
        <f t="shared" ca="1" si="3"/>
        <v>0</v>
      </c>
      <c r="AD12" s="113">
        <v>0</v>
      </c>
      <c r="AE12" s="113">
        <v>6</v>
      </c>
      <c r="AF12" s="113"/>
      <c r="AG12" s="112" t="s">
        <v>63</v>
      </c>
      <c r="AH12" s="113" t="str">
        <f ca="1">OFFSET(Weapons!$A$1,MATCH($AG12,Weapons!$A$1:$A$199,0)-1,9)</f>
        <v>Un</v>
      </c>
      <c r="AI12" s="113">
        <v>-6</v>
      </c>
      <c r="AJ12" s="113">
        <v>25</v>
      </c>
    </row>
    <row r="13" spans="1:36" s="38" customFormat="1" ht="15.95" customHeight="1" x14ac:dyDescent="0.2">
      <c r="A13" s="157" t="str">
        <f t="shared" si="4"/>
        <v>Sabre</v>
      </c>
      <c r="B13" s="113" t="str">
        <f t="shared" ca="1" si="0"/>
        <v>Un</v>
      </c>
      <c r="C13" s="113">
        <f ca="1">IF(ISERROR(SEARCH("M",$M13)),"",Stats!$D$3+Stats!$I$3+IF(ISERROR($B13*1),0,$B13)+Bonuses!$AJ$3+Bonuses!$AR$3+$N$1+$P13)</f>
        <v>16</v>
      </c>
      <c r="D13" s="113">
        <f ca="1">IF(ISERROR(SEARCH("M",$M13)),"",OFFSET(Weapons!$A$1,MATCH($R13,Weapons!$A$1:$A$199,0)-1,4)+IF(ISERROR(1*$B13),0,Stats!$C$3+4*$B13)+Bonuses!$AK$3+Bonuses!$AS$3+$P$1+$N13)</f>
        <v>60</v>
      </c>
      <c r="E13" s="113">
        <f ca="1">OFFSET(Weapons!$A$1,MATCH($R13,Weapons!$A$1:$A$199,0)-1,7)+Y13+IF("R"=$M13,0,$R$1)+O13+Bonuses!$AL$3</f>
        <v>3</v>
      </c>
      <c r="F13" s="113" t="str">
        <f ca="1">OFFSET(Weapons!$A$1,MATCH($R13,Weapons!$A$1:$A$199,0)-1,1)</f>
        <v>B</v>
      </c>
      <c r="G13" s="113" t="str">
        <f ca="1">IF(ISERROR(SEARCH("C",$M13)),"",Stats!$D$3+Stats!$I$3+IF(ISERROR($B13*1),0,$B13)+Bonuses!$AJ$3+Bonuses!$AU$3+$N$1+$P13)</f>
        <v/>
      </c>
      <c r="H13" s="113" t="str">
        <f ca="1">IF(ISERROR(SEARCH("C",$M13)),"",OFFSET(Weapons!$A$1,MATCH($R13,Weapons!$A$1:$A$199,0)-1,4)+IF(ISERROR(1*$B13),0,Stats!$C$3+4*$B13)+Bonuses!$AK$3+Bonuses!$AV$3+$P$1+$N13)</f>
        <v/>
      </c>
      <c r="I13" s="139" t="str">
        <f ca="1">IF(ISERROR(SEARCH("R",$M13)),"",OFFSET(Weapons!$A$1,MATCH($R13,Weapons!$A$1:$A$199,0)-1,2)&amp;" hx")</f>
        <v/>
      </c>
      <c r="J13" s="113" t="str">
        <f ca="1">IF(ISERROR(SEARCH("R",$M13)),"",Stats!$D$3+Stats!$I$3+IF(ISERROR($B13*1),0,$B13)+Bonuses!$AJ$3+Bonuses!$AX$3+$N$1+$P13)</f>
        <v/>
      </c>
      <c r="K13" s="113" t="str">
        <f ca="1">IF(ISERROR(SEARCH("R",$M13)),"",OFFSET(Weapons!$A$1,MATCH($R13,Weapons!$A$1:$A$199,0)-1,4)+IF(ISERROR(1*$B13),0,Stats!$C$3+4*$B13)+Bonuses!$AK$3+Bonuses!$AY$3+$P$1+$N13)</f>
        <v/>
      </c>
      <c r="L13" s="113">
        <f t="shared" ca="1" si="1"/>
        <v>10</v>
      </c>
      <c r="M13" s="113" t="str">
        <f ca="1">OFFSET(Weapons!$A$1,MATCH($R13,Weapons!$A$1:$A$199,0)-1,3)</f>
        <v>M</v>
      </c>
      <c r="N13" s="107"/>
      <c r="O13" s="158"/>
      <c r="P13" s="107"/>
      <c r="Q13" s="158"/>
      <c r="R13" s="157" t="s">
        <v>59</v>
      </c>
      <c r="S13" s="113" t="str">
        <f ca="1">OFFSET(Weapons!$A$1,MATCH($R13,Weapons!$A$1:$A$199,0)-1,9)</f>
        <v>Un</v>
      </c>
      <c r="T13" s="113" t="str">
        <f ca="1">OFFSET(Weapons!$P$2,MATCH($R13,Weapons!$N$1:$N$199,0)-3,0)</f>
        <v>Un</v>
      </c>
      <c r="U13" s="113">
        <f ca="1">OFFSET(Weapons!$A$1,MATCH($R13,Weapons!$A$1:$A$199,0)-1,6)</f>
        <v>15</v>
      </c>
      <c r="V13" s="113">
        <f ca="1">Stats!$C$3-U13</f>
        <v>-2</v>
      </c>
      <c r="W13" s="113">
        <f ca="1">OFFSET(Weapons!$A$1,MATCH($R13,Weapons!$A$1:$A$199,0)-1,5)</f>
        <v>14</v>
      </c>
      <c r="X13" s="113">
        <f ca="1">Stats!$B$3-W13</f>
        <v>1</v>
      </c>
      <c r="Y13" s="113">
        <f t="shared" ca="1" si="5"/>
        <v>0</v>
      </c>
      <c r="Z13" s="46">
        <f ca="1">OFFSET(Weapons!$A$1,MATCH($R13,Weapons!$A$1:$A$199,0)-1,11)</f>
        <v>0</v>
      </c>
      <c r="AA13" s="157" t="s">
        <v>95</v>
      </c>
      <c r="AB13" s="113" t="str">
        <f t="shared" ca="1" si="2"/>
        <v>Un</v>
      </c>
      <c r="AC13" s="113">
        <f t="shared" ca="1" si="3"/>
        <v>0</v>
      </c>
      <c r="AD13" s="136">
        <v>0</v>
      </c>
      <c r="AE13" s="136">
        <v>2</v>
      </c>
      <c r="AF13" s="138"/>
      <c r="AG13" s="137" t="s">
        <v>95</v>
      </c>
      <c r="AH13" s="113" t="str">
        <f ca="1">OFFSET(Weapons!$A$1,MATCH($AG13,Weapons!$A$1:$A$199,0)-1,9)</f>
        <v>Un</v>
      </c>
      <c r="AI13" s="113">
        <v>0</v>
      </c>
      <c r="AJ13" s="113">
        <v>1</v>
      </c>
    </row>
    <row r="14" spans="1:36" s="38" customFormat="1" ht="15.95" customHeight="1" x14ac:dyDescent="0.2">
      <c r="A14" s="157" t="str">
        <f t="shared" si="4"/>
        <v>Broadsword</v>
      </c>
      <c r="B14" s="113" t="str">
        <f t="shared" ca="1" si="0"/>
        <v>Un</v>
      </c>
      <c r="C14" s="113">
        <f ca="1">IF(ISERROR(SEARCH("M",$M14)),"",Stats!$D$3+Stats!$I$3+IF(ISERROR($B14*1),0,$B14)+Bonuses!$AJ$3+Bonuses!$AR$3+$N$1+$P14)</f>
        <v>16</v>
      </c>
      <c r="D14" s="113">
        <f ca="1">IF(ISERROR(SEARCH("M",$M14)),"",OFFSET(Weapons!$A$1,MATCH($R14,Weapons!$A$1:$A$199,0)-1,4)+IF(ISERROR(1*$B14),0,Stats!$C$3+4*$B14)+Bonuses!$AK$3+Bonuses!$AS$3+$P$1+$N14)</f>
        <v>55</v>
      </c>
      <c r="E14" s="113">
        <f ca="1">OFFSET(Weapons!$A$1,MATCH($R14,Weapons!$A$1:$A$199,0)-1,7)+Y14+IF("R"=$M14,0,$R$1)+O14+Bonuses!$AL$3</f>
        <v>4</v>
      </c>
      <c r="F14" s="113" t="str">
        <f ca="1">OFFSET(Weapons!$A$1,MATCH($R14,Weapons!$A$1:$A$199,0)-1,1)</f>
        <v>B</v>
      </c>
      <c r="G14" s="113" t="str">
        <f ca="1">IF(ISERROR(SEARCH("C",$M14)),"",Stats!$D$3+Stats!$I$3+IF(ISERROR($B14*1),0,$B14)+Bonuses!$AJ$3+Bonuses!$AU$3+$N$1+$P14)</f>
        <v/>
      </c>
      <c r="H14" s="113" t="str">
        <f ca="1">IF(ISERROR(SEARCH("C",$M14)),"",OFFSET(Weapons!$A$1,MATCH($R14,Weapons!$A$1:$A$199,0)-1,4)+IF(ISERROR(1*$B14),0,Stats!$C$3+4*$B14)+Bonuses!$AK$3+Bonuses!$AV$3+$P$1+$N14)</f>
        <v/>
      </c>
      <c r="I14" s="139" t="str">
        <f ca="1">IF(ISERROR(SEARCH("R",$M14)),"",OFFSET(Weapons!$A$1,MATCH($R14,Weapons!$A$1:$A$199,0)-1,2)&amp;" hx")</f>
        <v/>
      </c>
      <c r="J14" s="113" t="str">
        <f ca="1">IF(ISERROR(SEARCH("R",$M14)),"",Stats!$D$3+Stats!$I$3+IF(ISERROR($B14*1),0,$B14)+Bonuses!$AJ$3+Bonuses!$AX$3+$N$1+$P14)</f>
        <v/>
      </c>
      <c r="K14" s="113" t="str">
        <f ca="1">IF(ISERROR(SEARCH("R",$M14)),"",OFFSET(Weapons!$A$1,MATCH($R14,Weapons!$A$1:$A$199,0)-1,4)+IF(ISERROR(1*$B14),0,Stats!$C$3+4*$B14)+Bonuses!$AK$3+Bonuses!$AY$3+$P$1+$N14)</f>
        <v/>
      </c>
      <c r="L14" s="113">
        <f t="shared" ca="1" si="1"/>
        <v>10</v>
      </c>
      <c r="M14" s="113" t="str">
        <f ca="1">OFFSET(Weapons!$A$1,MATCH($R14,Weapons!$A$1:$A$199,0)-1,3)</f>
        <v>M</v>
      </c>
      <c r="N14" s="107"/>
      <c r="O14" s="158"/>
      <c r="P14" s="107"/>
      <c r="Q14" s="158"/>
      <c r="R14" s="157" t="s">
        <v>17</v>
      </c>
      <c r="S14" s="113" t="str">
        <f ca="1">OFFSET(Weapons!$A$1,MATCH($R14,Weapons!$A$1:$A$199,0)-1,9)</f>
        <v>Un</v>
      </c>
      <c r="T14" s="113" t="str">
        <f ca="1">OFFSET(Weapons!$P$2,MATCH($R14,Weapons!$N$1:$N$199,0)-3,0)</f>
        <v>Un</v>
      </c>
      <c r="U14" s="113">
        <f ca="1">OFFSET(Weapons!$A$1,MATCH($R14,Weapons!$A$1:$A$199,0)-1,6)</f>
        <v>15</v>
      </c>
      <c r="V14" s="113">
        <f ca="1">Stats!$C$3-U14</f>
        <v>-2</v>
      </c>
      <c r="W14" s="113">
        <f ca="1">OFFSET(Weapons!$A$1,MATCH($R14,Weapons!$A$1:$A$199,0)-1,5)</f>
        <v>15</v>
      </c>
      <c r="X14" s="113">
        <f ca="1">Stats!$B$3-W14</f>
        <v>0</v>
      </c>
      <c r="Y14" s="113">
        <f t="shared" ca="1" si="5"/>
        <v>0</v>
      </c>
      <c r="Z14" s="46">
        <f ca="1">OFFSET(Weapons!$A$1,MATCH($R14,Weapons!$A$1:$A$199,0)-1,11)</f>
        <v>0</v>
      </c>
      <c r="AA14" s="157"/>
      <c r="AB14" s="113" t="str">
        <f t="shared" ca="1" si="2"/>
        <v>Un</v>
      </c>
      <c r="AC14" s="113">
        <f t="shared" ca="1" si="3"/>
        <v>0</v>
      </c>
      <c r="AD14" s="436"/>
      <c r="AE14" s="436"/>
      <c r="AF14" s="437"/>
      <c r="AG14" s="755" t="s">
        <v>63</v>
      </c>
      <c r="AH14" s="113" t="str">
        <f ca="1">OFFSET(Weapons!$A$1,MATCH($AG14,Weapons!$A$1:$A$199,0)-1,9)</f>
        <v>Un</v>
      </c>
      <c r="AI14" s="437"/>
      <c r="AJ14" s="437"/>
    </row>
    <row r="15" spans="1:36" s="38" customFormat="1" ht="15.95" customHeight="1" x14ac:dyDescent="0.2">
      <c r="A15" s="157" t="str">
        <f t="shared" si="4"/>
        <v>Estoc</v>
      </c>
      <c r="B15" s="113" t="str">
        <f t="shared" ca="1" si="0"/>
        <v>Un</v>
      </c>
      <c r="C15" s="113">
        <f ca="1">IF(ISERROR(SEARCH("M",$M15)),"",Stats!$D$3+Stats!$I$3+IF(ISERROR($B15*1),0,$B15)+Bonuses!$AJ$3+Bonuses!$AR$3+$N$1+$P15)</f>
        <v>16</v>
      </c>
      <c r="D15" s="113">
        <f ca="1">IF(ISERROR(SEARCH("M",$M15)),"",OFFSET(Weapons!$A$1,MATCH($R15,Weapons!$A$1:$A$199,0)-1,4)+IF(ISERROR(1*$B15),0,Stats!$C$3+4*$B15)+Bonuses!$AK$3+Bonuses!$AS$3+$P$1+$N15)</f>
        <v>45</v>
      </c>
      <c r="E15" s="113">
        <f ca="1">OFFSET(Weapons!$A$1,MATCH($R15,Weapons!$A$1:$A$199,0)-1,7)+Y15+IF("R"=$M15,0,$R$1)+O15+Bonuses!$AL$3</f>
        <v>5</v>
      </c>
      <c r="F15" s="113" t="str">
        <f ca="1">OFFSET(Weapons!$A$1,MATCH($R15,Weapons!$A$1:$A$199,0)-1,1)</f>
        <v>A</v>
      </c>
      <c r="G15" s="113" t="str">
        <f ca="1">IF(ISERROR(SEARCH("C",$M15)),"",Stats!$D$3+Stats!$I$3+IF(ISERROR($B15*1),0,$B15)+Bonuses!$AJ$3+Bonuses!$AU$3+$N$1+$P15)</f>
        <v/>
      </c>
      <c r="H15" s="113" t="str">
        <f ca="1">IF(ISERROR(SEARCH("C",$M15)),"",OFFSET(Weapons!$A$1,MATCH($R15,Weapons!$A$1:$A$199,0)-1,4)+IF(ISERROR(1*$B15),0,Stats!$C$3+4*$B15)+Bonuses!$AK$3+Bonuses!$AV$3+$P$1+$N15)</f>
        <v/>
      </c>
      <c r="I15" s="139" t="str">
        <f ca="1">IF(ISERROR(SEARCH("R",$M15)),"",OFFSET(Weapons!$A$1,MATCH($R15,Weapons!$A$1:$A$199,0)-1,2)&amp;" hx")</f>
        <v/>
      </c>
      <c r="J15" s="113" t="str">
        <f ca="1">IF(ISERROR(SEARCH("R",$M15)),"",Stats!$D$3+Stats!$I$3+IF(ISERROR($B15*1),0,$B15)+Bonuses!$AJ$3+Bonuses!$AX$3+$N$1+$P15)</f>
        <v/>
      </c>
      <c r="K15" s="113" t="str">
        <f ca="1">IF(ISERROR(SEARCH("R",$M15)),"",OFFSET(Weapons!$A$1,MATCH($R15,Weapons!$A$1:$A$199,0)-1,4)+IF(ISERROR(1*$B15),0,Stats!$C$3+4*$B15)+Bonuses!$AK$3+Bonuses!$AY$3+$P$1+$N15)</f>
        <v/>
      </c>
      <c r="L15" s="113">
        <f t="shared" ca="1" si="1"/>
        <v>10</v>
      </c>
      <c r="M15" s="113" t="str">
        <f ca="1">OFFSET(Weapons!$A$1,MATCH($R15,Weapons!$A$1:$A$199,0)-1,3)</f>
        <v>M</v>
      </c>
      <c r="N15" s="107"/>
      <c r="O15" s="158"/>
      <c r="P15" s="107"/>
      <c r="Q15" s="158"/>
      <c r="R15" s="157" t="s">
        <v>28</v>
      </c>
      <c r="S15" s="113" t="str">
        <f ca="1">OFFSET(Weapons!$A$1,MATCH($R15,Weapons!$A$1:$A$199,0)-1,9)</f>
        <v>Un</v>
      </c>
      <c r="T15" s="113" t="str">
        <f ca="1">OFFSET(Weapons!$P$2,MATCH($R15,Weapons!$N$1:$N$199,0)-3,0)</f>
        <v>Un</v>
      </c>
      <c r="U15" s="113">
        <f ca="1">OFFSET(Weapons!$A$1,MATCH($R15,Weapons!$A$1:$A$199,0)-1,6)</f>
        <v>17</v>
      </c>
      <c r="V15" s="113">
        <f ca="1">Stats!$C$3-U15</f>
        <v>-4</v>
      </c>
      <c r="W15" s="113">
        <f ca="1">OFFSET(Weapons!$A$1,MATCH($R15,Weapons!$A$1:$A$199,0)-1,5)</f>
        <v>15</v>
      </c>
      <c r="X15" s="113">
        <f ca="1">Stats!$B$3-W15</f>
        <v>0</v>
      </c>
      <c r="Y15" s="113">
        <f t="shared" ca="1" si="5"/>
        <v>0</v>
      </c>
      <c r="Z15" s="46">
        <f ca="1">OFFSET(Weapons!$A$1,MATCH($R15,Weapons!$A$1:$A$199,0)-1,11)</f>
        <v>0</v>
      </c>
      <c r="AA15" s="157"/>
      <c r="AB15" s="113" t="str">
        <f t="shared" ca="1" si="2"/>
        <v>Un</v>
      </c>
      <c r="AC15" s="113">
        <f t="shared" ca="1" si="3"/>
        <v>0</v>
      </c>
      <c r="AD15" s="436"/>
      <c r="AE15" s="436"/>
      <c r="AF15" s="437"/>
      <c r="AG15" s="755" t="s">
        <v>63</v>
      </c>
      <c r="AH15" s="113" t="str">
        <f ca="1">OFFSET(Weapons!$A$1,MATCH($AG15,Weapons!$A$1:$A$199,0)-1,9)</f>
        <v>Un</v>
      </c>
      <c r="AI15" s="437"/>
      <c r="AJ15" s="437"/>
    </row>
    <row r="16" spans="1:36" s="38" customFormat="1" ht="15.95" customHeight="1" x14ac:dyDescent="0.2">
      <c r="A16" s="157" t="str">
        <f t="shared" si="4"/>
        <v>War Hammer</v>
      </c>
      <c r="B16" s="113" t="str">
        <f t="shared" ca="1" si="0"/>
        <v>Un</v>
      </c>
      <c r="C16" s="113">
        <f ca="1">IF(ISERROR(SEARCH("M",$M16)),"",Stats!$D$3+Stats!$I$3+IF(ISERROR($B16*1),0,$B16)+Bonuses!$AJ$3+Bonuses!$AR$3+$N$1+$P16)</f>
        <v>16</v>
      </c>
      <c r="D16" s="113">
        <f ca="1">IF(ISERROR(SEARCH("M",$M16)),"",OFFSET(Weapons!$A$1,MATCH($R16,Weapons!$A$1:$A$199,0)-1,4)+IF(ISERROR(1*$B16),0,Stats!$C$3+4*$B16)+Bonuses!$AK$3+Bonuses!$AS$3+$P$1+$N16)</f>
        <v>45</v>
      </c>
      <c r="E16" s="113">
        <f ca="1">OFFSET(Weapons!$A$1,MATCH($R16,Weapons!$A$1:$A$199,0)-1,7)+Y16+IF("R"=$M16,0,$R$1)+O16+Bonuses!$AL$3</f>
        <v>3</v>
      </c>
      <c r="F16" s="113" t="str">
        <f ca="1">OFFSET(Weapons!$A$1,MATCH($R16,Weapons!$A$1:$A$199,0)-1,1)</f>
        <v>C</v>
      </c>
      <c r="G16" s="113" t="str">
        <f ca="1">IF(ISERROR(SEARCH("C",$M16)),"",Stats!$D$3+Stats!$I$3+IF(ISERROR($B16*1),0,$B16)+Bonuses!$AJ$3+Bonuses!$AU$3+$N$1+$P16)</f>
        <v/>
      </c>
      <c r="H16" s="113" t="str">
        <f ca="1">IF(ISERROR(SEARCH("C",$M16)),"",OFFSET(Weapons!$A$1,MATCH($R16,Weapons!$A$1:$A$199,0)-1,4)+IF(ISERROR(1*$B16),0,Stats!$C$3+4*$B16)+Bonuses!$AK$3+Bonuses!$AV$3+$P$1+$N16)</f>
        <v/>
      </c>
      <c r="I16" s="139" t="str">
        <f ca="1">IF(ISERROR(SEARCH("R",$M16)),"",OFFSET(Weapons!$A$1,MATCH($R16,Weapons!$A$1:$A$199,0)-1,2)&amp;" hx")</f>
        <v>6 hx</v>
      </c>
      <c r="J16" s="113">
        <f ca="1">IF(ISERROR(SEARCH("R",$M16)),"",Stats!$D$3+Stats!$I$3+IF(ISERROR($B16*1),0,$B16)+Bonuses!$AJ$3+Bonuses!$AX$3+$N$1+$P16)</f>
        <v>16</v>
      </c>
      <c r="K16" s="113">
        <f ca="1">IF(ISERROR(SEARCH("R",$M16)),"",OFFSET(Weapons!$A$1,MATCH($R16,Weapons!$A$1:$A$199,0)-1,4)+IF(ISERROR(1*$B16),0,Stats!$C$3+4*$B16)+Bonuses!$AK$3+Bonuses!$AY$3+$P$1+$N16)</f>
        <v>45</v>
      </c>
      <c r="L16" s="113">
        <f t="shared" ca="1" si="1"/>
        <v>10</v>
      </c>
      <c r="M16" s="113" t="str">
        <f ca="1">OFFSET(Weapons!$A$1,MATCH($R16,Weapons!$A$1:$A$199,0)-1,3)</f>
        <v>RM</v>
      </c>
      <c r="N16" s="107"/>
      <c r="O16" s="158"/>
      <c r="P16" s="107"/>
      <c r="Q16" s="158"/>
      <c r="R16" s="157" t="s">
        <v>76</v>
      </c>
      <c r="S16" s="113" t="str">
        <f ca="1">OFFSET(Weapons!$A$1,MATCH($R16,Weapons!$A$1:$A$199,0)-1,9)</f>
        <v>Un</v>
      </c>
      <c r="T16" s="113" t="str">
        <f ca="1">OFFSET(Weapons!$P$2,MATCH($R16,Weapons!$N$1:$N$199,0)-3,0)</f>
        <v>Un</v>
      </c>
      <c r="U16" s="113">
        <f ca="1">OFFSET(Weapons!$A$1,MATCH($R16,Weapons!$A$1:$A$199,0)-1,6)</f>
        <v>13</v>
      </c>
      <c r="V16" s="113">
        <f ca="1">Stats!$C$3-U16</f>
        <v>0</v>
      </c>
      <c r="W16" s="113">
        <f ca="1">OFFSET(Weapons!$A$1,MATCH($R16,Weapons!$A$1:$A$199,0)-1,5)</f>
        <v>15</v>
      </c>
      <c r="X16" s="113">
        <f ca="1">Stats!$B$3-W16</f>
        <v>0</v>
      </c>
      <c r="Y16" s="113">
        <f t="shared" ca="1" si="5"/>
        <v>0</v>
      </c>
      <c r="Z16" s="46">
        <f ca="1">OFFSET(Weapons!$A$1,MATCH($R16,Weapons!$A$1:$A$199,0)-1,11)</f>
        <v>0</v>
      </c>
      <c r="AA16" s="157"/>
      <c r="AB16" s="113" t="str">
        <f t="shared" ca="1" si="2"/>
        <v>Un</v>
      </c>
      <c r="AC16" s="113">
        <f t="shared" ca="1" si="3"/>
        <v>0</v>
      </c>
      <c r="AD16" s="436"/>
      <c r="AE16" s="436"/>
      <c r="AF16" s="437"/>
      <c r="AG16" s="755" t="s">
        <v>63</v>
      </c>
      <c r="AH16" s="113" t="str">
        <f ca="1">OFFSET(Weapons!$A$1,MATCH($AG16,Weapons!$A$1:$A$199,0)-1,9)</f>
        <v>Un</v>
      </c>
      <c r="AI16" s="437"/>
      <c r="AJ16" s="437"/>
    </row>
    <row r="17" spans="1:36" s="38" customFormat="1" ht="15.95" customHeight="1" x14ac:dyDescent="0.2">
      <c r="A17" s="157" t="str">
        <f t="shared" si="4"/>
        <v>Javelin</v>
      </c>
      <c r="B17" s="113" t="str">
        <f t="shared" ca="1" si="0"/>
        <v>Un</v>
      </c>
      <c r="C17" s="113">
        <f ca="1">IF(ISERROR(SEARCH("M",$M17)),"",Stats!$D$3+Stats!$I$3+IF(ISERROR($B17*1),0,$B17)+Bonuses!$AJ$3+Bonuses!$AR$3+$N$1+$P17)</f>
        <v>16</v>
      </c>
      <c r="D17" s="113">
        <f ca="1">IF(ISERROR(SEARCH("M",$M17)),"",OFFSET(Weapons!$A$1,MATCH($R17,Weapons!$A$1:$A$199,0)-1,4)+IF(ISERROR(1*$B17),0,Stats!$C$3+4*$B17)+Bonuses!$AK$3+Bonuses!$AS$3+$P$1+$N17)</f>
        <v>45</v>
      </c>
      <c r="E17" s="113">
        <f ca="1">OFFSET(Weapons!$A$1,MATCH($R17,Weapons!$A$1:$A$199,0)-1,7)+Y17+IF("R"=$M17,0,$R$1)+O17+Bonuses!$AL$3</f>
        <v>2</v>
      </c>
      <c r="F17" s="113" t="str">
        <f ca="1">OFFSET(Weapons!$A$1,MATCH($R17,Weapons!$A$1:$A$199,0)-1,1)</f>
        <v>A</v>
      </c>
      <c r="G17" s="113" t="str">
        <f ca="1">IF(ISERROR(SEARCH("C",$M17)),"",Stats!$D$3+Stats!$I$3+IF(ISERROR($B17*1),0,$B17)+Bonuses!$AJ$3+Bonuses!$AU$3+$N$1+$P17)</f>
        <v/>
      </c>
      <c r="H17" s="113" t="str">
        <f ca="1">IF(ISERROR(SEARCH("C",$M17)),"",OFFSET(Weapons!$A$1,MATCH($R17,Weapons!$A$1:$A$199,0)-1,4)+IF(ISERROR(1*$B17),0,Stats!$C$3+4*$B17)+Bonuses!$AK$3+Bonuses!$AV$3+$P$1+$N17)</f>
        <v/>
      </c>
      <c r="I17" s="139" t="str">
        <f ca="1">IF(ISERROR(SEARCH("R",$M17)),"",OFFSET(Weapons!$A$1,MATCH($R17,Weapons!$A$1:$A$199,0)-1,2)&amp;" hx")</f>
        <v>12 hx</v>
      </c>
      <c r="J17" s="113">
        <f ca="1">IF(ISERROR(SEARCH("R",$M17)),"",Stats!$D$3+Stats!$I$3+IF(ISERROR($B17*1),0,$B17)+Bonuses!$AJ$3+Bonuses!$AX$3+$N$1+$P17)</f>
        <v>16</v>
      </c>
      <c r="K17" s="113">
        <f ca="1">IF(ISERROR(SEARCH("R",$M17)),"",OFFSET(Weapons!$A$1,MATCH($R17,Weapons!$A$1:$A$199,0)-1,4)+IF(ISERROR(1*$B17),0,Stats!$C$3+4*$B17)+Bonuses!$AK$3+Bonuses!$AY$3+$P$1+$N17)</f>
        <v>45</v>
      </c>
      <c r="L17" s="113">
        <f t="shared" ca="1" si="1"/>
        <v>10</v>
      </c>
      <c r="M17" s="113" t="str">
        <f ca="1">OFFSET(Weapons!$A$1,MATCH($R17,Weapons!$A$1:$A$199,0)-1,3)</f>
        <v>RM</v>
      </c>
      <c r="N17" s="107"/>
      <c r="O17" s="158"/>
      <c r="P17" s="107"/>
      <c r="Q17" s="158"/>
      <c r="R17" s="157" t="s">
        <v>45</v>
      </c>
      <c r="S17" s="113" t="str">
        <f ca="1">OFFSET(Weapons!$A$1,MATCH($R17,Weapons!$A$1:$A$199,0)-1,9)</f>
        <v>Un</v>
      </c>
      <c r="T17" s="113" t="str">
        <f ca="1">OFFSET(Weapons!$P$2,MATCH($R17,Weapons!$N$1:$N$199,0)-3,0)</f>
        <v>Un</v>
      </c>
      <c r="U17" s="113">
        <f ca="1">OFFSET(Weapons!$A$1,MATCH($R17,Weapons!$A$1:$A$199,0)-1,6)</f>
        <v>15</v>
      </c>
      <c r="V17" s="113">
        <f ca="1">Stats!$C$3-U17</f>
        <v>-2</v>
      </c>
      <c r="W17" s="113">
        <f ca="1">OFFSET(Weapons!$A$1,MATCH($R17,Weapons!$A$1:$A$199,0)-1,5)</f>
        <v>12</v>
      </c>
      <c r="X17" s="113">
        <f ca="1">Stats!$B$3-W17</f>
        <v>3</v>
      </c>
      <c r="Y17" s="113">
        <f t="shared" ca="1" si="5"/>
        <v>0</v>
      </c>
      <c r="Z17" s="46">
        <f ca="1">OFFSET(Weapons!$A$1,MATCH($R17,Weapons!$A$1:$A$199,0)-1,11)</f>
        <v>0</v>
      </c>
      <c r="AA17" s="157"/>
      <c r="AB17" s="113" t="str">
        <f t="shared" ca="1" si="2"/>
        <v>Un</v>
      </c>
      <c r="AC17" s="113">
        <f t="shared" ca="1" si="3"/>
        <v>0</v>
      </c>
      <c r="AD17" s="436"/>
      <c r="AE17" s="436"/>
      <c r="AF17" s="437"/>
      <c r="AG17" s="755" t="s">
        <v>63</v>
      </c>
      <c r="AH17" s="113" t="str">
        <f ca="1">OFFSET(Weapons!$A$1,MATCH($AG17,Weapons!$A$1:$A$199,0)-1,9)</f>
        <v>Un</v>
      </c>
      <c r="AI17" s="437"/>
      <c r="AJ17" s="437"/>
    </row>
    <row r="18" spans="1:36" s="38" customFormat="1" ht="15.95" customHeight="1" x14ac:dyDescent="0.2">
      <c r="A18" s="157" t="str">
        <f t="shared" si="4"/>
        <v>Quarterstaff</v>
      </c>
      <c r="B18" s="113" t="str">
        <f t="shared" ca="1" si="0"/>
        <v>Un</v>
      </c>
      <c r="C18" s="113">
        <f ca="1">IF(ISERROR(SEARCH("M",$M18)),"",Stats!$D$3+Stats!$I$3+IF(ISERROR($B18*1),0,$B18)+Bonuses!$AJ$3+Bonuses!$AR$3+$N$1+$P18)</f>
        <v>16</v>
      </c>
      <c r="D18" s="113">
        <f ca="1">IF(ISERROR(SEARCH("M",$M18)),"",OFFSET(Weapons!$A$1,MATCH($R18,Weapons!$A$1:$A$199,0)-1,4)+IF(ISERROR(1*$B18),0,Stats!$C$3+4*$B18)+Bonuses!$AK$3+Bonuses!$AS$3+$P$1+$N18)</f>
        <v>55</v>
      </c>
      <c r="E18" s="113">
        <f ca="1">OFFSET(Weapons!$A$1,MATCH($R18,Weapons!$A$1:$A$199,0)-1,7)+Y18+IF("R"=$M18,0,$R$1)+O18+Bonuses!$AL$3</f>
        <v>2</v>
      </c>
      <c r="F18" s="113" t="str">
        <f ca="1">OFFSET(Weapons!$A$1,MATCH($R18,Weapons!$A$1:$A$199,0)-1,1)</f>
        <v>C</v>
      </c>
      <c r="G18" s="113" t="str">
        <f ca="1">IF(ISERROR(SEARCH("C",$M18)),"",Stats!$D$3+Stats!$I$3+IF(ISERROR($B18*1),0,$B18)+Bonuses!$AJ$3+Bonuses!$AU$3+$N$1+$P18)</f>
        <v/>
      </c>
      <c r="H18" s="113" t="str">
        <f ca="1">IF(ISERROR(SEARCH("C",$M18)),"",OFFSET(Weapons!$A$1,MATCH($R18,Weapons!$A$1:$A$199,0)-1,4)+IF(ISERROR(1*$B18),0,Stats!$C$3+4*$B18)+Bonuses!$AK$3+Bonuses!$AV$3+$P$1+$N18)</f>
        <v/>
      </c>
      <c r="I18" s="139" t="str">
        <f ca="1">IF(ISERROR(SEARCH("R",$M18)),"",OFFSET(Weapons!$A$1,MATCH($R18,Weapons!$A$1:$A$199,0)-1,2)&amp;" hx")</f>
        <v/>
      </c>
      <c r="J18" s="113" t="str">
        <f ca="1">IF(ISERROR(SEARCH("R",$M18)),"",Stats!$D$3+Stats!$I$3+IF(ISERROR($B18*1),0,$B18)+Bonuses!$AJ$3+Bonuses!$AX$3+$N$1+$P18)</f>
        <v/>
      </c>
      <c r="K18" s="113" t="str">
        <f ca="1">IF(ISERROR(SEARCH("R",$M18)),"",OFFSET(Weapons!$A$1,MATCH($R18,Weapons!$A$1:$A$199,0)-1,4)+IF(ISERROR(1*$B18),0,Stats!$C$3+4*$B18)+Bonuses!$AK$3+Bonuses!$AY$3+$P$1+$N18)</f>
        <v/>
      </c>
      <c r="L18" s="113">
        <f t="shared" ca="1" si="1"/>
        <v>10</v>
      </c>
      <c r="M18" s="113" t="str">
        <f ca="1">OFFSET(Weapons!$A$1,MATCH($R18,Weapons!$A$1:$A$199,0)-1,3)</f>
        <v>M</v>
      </c>
      <c r="N18" s="107"/>
      <c r="O18" s="158"/>
      <c r="P18" s="107"/>
      <c r="Q18" s="158"/>
      <c r="R18" s="157" t="s">
        <v>56</v>
      </c>
      <c r="S18" s="113" t="str">
        <f ca="1">OFFSET(Weapons!$A$1,MATCH($R18,Weapons!$A$1:$A$199,0)-1,9)</f>
        <v>Un</v>
      </c>
      <c r="T18" s="113" t="str">
        <f ca="1">OFFSET(Weapons!$P$2,MATCH($R18,Weapons!$N$1:$N$199,0)-3,0)</f>
        <v>Un</v>
      </c>
      <c r="U18" s="113">
        <f ca="1">OFFSET(Weapons!$A$1,MATCH($R18,Weapons!$A$1:$A$199,0)-1,6)</f>
        <v>16</v>
      </c>
      <c r="V18" s="113">
        <f ca="1">Stats!$C$3-U18</f>
        <v>-3</v>
      </c>
      <c r="W18" s="113">
        <f ca="1">OFFSET(Weapons!$A$1,MATCH($R18,Weapons!$A$1:$A$199,0)-1,5)</f>
        <v>12</v>
      </c>
      <c r="X18" s="113">
        <f ca="1">Stats!$B$3-W18</f>
        <v>3</v>
      </c>
      <c r="Y18" s="113">
        <f t="shared" ca="1" si="5"/>
        <v>0</v>
      </c>
      <c r="Z18" s="46" t="str">
        <f ca="1">OFFSET(Weapons!$A$1,MATCH($R18,Weapons!$A$1:$A$199,0)-1,11)</f>
        <v>2</v>
      </c>
      <c r="AA18" s="157"/>
      <c r="AB18" s="113" t="str">
        <f t="shared" ca="1" si="2"/>
        <v>Un</v>
      </c>
      <c r="AC18" s="113">
        <f t="shared" ca="1" si="3"/>
        <v>0</v>
      </c>
      <c r="AD18" s="436"/>
      <c r="AE18" s="436"/>
      <c r="AF18" s="437"/>
      <c r="AG18" s="755" t="s">
        <v>63</v>
      </c>
      <c r="AH18" s="113" t="str">
        <f ca="1">OFFSET(Weapons!$A$1,MATCH($AG18,Weapons!$A$1:$A$199,0)-1,9)</f>
        <v>Un</v>
      </c>
      <c r="AI18" s="437"/>
      <c r="AJ18" s="437"/>
    </row>
    <row r="19" spans="1:36" s="38" customFormat="1" ht="15.95" customHeight="1" x14ac:dyDescent="0.2">
      <c r="A19" s="157" t="str">
        <f t="shared" si="4"/>
        <v>Flail</v>
      </c>
      <c r="B19" s="113" t="str">
        <f t="shared" ca="1" si="0"/>
        <v>Un</v>
      </c>
      <c r="C19" s="113">
        <f ca="1">IF(ISERROR(SEARCH("M",$M19)),"",Stats!$D$3+Stats!$I$3+IF(ISERROR($B19*1),0,$B19)+Bonuses!$AJ$3+Bonuses!$AR$3+$N$1+$P19)</f>
        <v>16</v>
      </c>
      <c r="D19" s="113">
        <f ca="1">IF(ISERROR(SEARCH("M",$M19)),"",OFFSET(Weapons!$A$1,MATCH($R19,Weapons!$A$1:$A$199,0)-1,4)+IF(ISERROR(1*$B19),0,Stats!$C$3+4*$B19)+Bonuses!$AK$3+Bonuses!$AS$3+$P$1+$N19)</f>
        <v>50</v>
      </c>
      <c r="E19" s="113">
        <f ca="1">OFFSET(Weapons!$A$1,MATCH($R19,Weapons!$A$1:$A$199,0)-1,7)+Y19+IF("R"=$M19,0,$R$1)+O19+Bonuses!$AL$3</f>
        <v>2</v>
      </c>
      <c r="F19" s="113" t="str">
        <f ca="1">OFFSET(Weapons!$A$1,MATCH($R19,Weapons!$A$1:$A$199,0)-1,1)</f>
        <v>C</v>
      </c>
      <c r="G19" s="113" t="str">
        <f ca="1">IF(ISERROR(SEARCH("C",$M19)),"",Stats!$D$3+Stats!$I$3+IF(ISERROR($B19*1),0,$B19)+Bonuses!$AJ$3+Bonuses!$AU$3+$N$1+$P19)</f>
        <v/>
      </c>
      <c r="H19" s="113" t="str">
        <f ca="1">IF(ISERROR(SEARCH("C",$M19)),"",OFFSET(Weapons!$A$1,MATCH($R19,Weapons!$A$1:$A$199,0)-1,4)+IF(ISERROR(1*$B19),0,Stats!$C$3+4*$B19)+Bonuses!$AK$3+Bonuses!$AV$3+$P$1+$N19)</f>
        <v/>
      </c>
      <c r="I19" s="139" t="str">
        <f ca="1">IF(ISERROR(SEARCH("R",$M19)),"",OFFSET(Weapons!$A$1,MATCH($R19,Weapons!$A$1:$A$199,0)-1,2)&amp;" hx")</f>
        <v/>
      </c>
      <c r="J19" s="113" t="str">
        <f ca="1">IF(ISERROR(SEARCH("R",$M19)),"",Stats!$D$3+Stats!$I$3+IF(ISERROR($B19*1),0,$B19)+Bonuses!$AJ$3+Bonuses!$AX$3+$N$1+$P19)</f>
        <v/>
      </c>
      <c r="K19" s="113" t="str">
        <f ca="1">IF(ISERROR(SEARCH("R",$M19)),"",OFFSET(Weapons!$A$1,MATCH($R19,Weapons!$A$1:$A$199,0)-1,4)+IF(ISERROR(1*$B19),0,Stats!$C$3+4*$B19)+Bonuses!$AK$3+Bonuses!$AY$3+$P$1+$N19)</f>
        <v/>
      </c>
      <c r="L19" s="113">
        <f t="shared" ca="1" si="1"/>
        <v>10</v>
      </c>
      <c r="M19" s="113" t="str">
        <f ca="1">OFFSET(Weapons!$A$1,MATCH($R19,Weapons!$A$1:$A$199,0)-1,3)</f>
        <v>M</v>
      </c>
      <c r="N19" s="107"/>
      <c r="O19" s="158"/>
      <c r="P19" s="107"/>
      <c r="Q19" s="158"/>
      <c r="R19" s="157" t="s">
        <v>30</v>
      </c>
      <c r="S19" s="113" t="str">
        <f ca="1">OFFSET(Weapons!$A$1,MATCH($R19,Weapons!$A$1:$A$199,0)-1,9)</f>
        <v>Un</v>
      </c>
      <c r="T19" s="113" t="str">
        <f ca="1">OFFSET(Weapons!$P$2,MATCH($R19,Weapons!$N$1:$N$199,0)-3,0)</f>
        <v>Un</v>
      </c>
      <c r="U19" s="113">
        <f ca="1">OFFSET(Weapons!$A$1,MATCH($R19,Weapons!$A$1:$A$199,0)-1,6)</f>
        <v>15</v>
      </c>
      <c r="V19" s="113">
        <f ca="1">Stats!$C$3-U19</f>
        <v>-2</v>
      </c>
      <c r="W19" s="113">
        <f ca="1">OFFSET(Weapons!$A$1,MATCH($R19,Weapons!$A$1:$A$199,0)-1,5)</f>
        <v>14</v>
      </c>
      <c r="X19" s="113">
        <f ca="1">Stats!$B$3-W19</f>
        <v>1</v>
      </c>
      <c r="Y19" s="113">
        <f t="shared" ca="1" si="5"/>
        <v>0</v>
      </c>
      <c r="Z19" s="46">
        <f ca="1">OFFSET(Weapons!$A$1,MATCH($R19,Weapons!$A$1:$A$199,0)-1,11)</f>
        <v>0</v>
      </c>
      <c r="AA19" s="157"/>
      <c r="AB19" s="113" t="str">
        <f t="shared" ca="1" si="2"/>
        <v>Un</v>
      </c>
      <c r="AC19" s="113">
        <f t="shared" ca="1" si="3"/>
        <v>0</v>
      </c>
      <c r="AD19" s="436"/>
      <c r="AE19" s="436"/>
      <c r="AF19" s="437"/>
      <c r="AG19" s="755" t="s">
        <v>63</v>
      </c>
      <c r="AH19" s="113" t="str">
        <f ca="1">OFFSET(Weapons!$A$1,MATCH($AG19,Weapons!$A$1:$A$199,0)-1,9)</f>
        <v>Un</v>
      </c>
      <c r="AI19" s="437"/>
      <c r="AJ19" s="437"/>
    </row>
    <row r="20" spans="1:36" s="38" customFormat="1" ht="15.95" customHeight="1" x14ac:dyDescent="0.2">
      <c r="A20" s="157" t="str">
        <f t="shared" si="4"/>
        <v>Hand &amp; a Half</v>
      </c>
      <c r="B20" s="113" t="str">
        <f t="shared" ca="1" si="0"/>
        <v>Un</v>
      </c>
      <c r="C20" s="113">
        <f ca="1">IF(ISERROR(SEARCH("M",$M20)),"",Stats!$D$3+Stats!$I$3+IF(ISERROR($B20*1),0,$B20)+Bonuses!$AJ$3+Bonuses!$AR$3+$N$1+$P20)</f>
        <v>16</v>
      </c>
      <c r="D20" s="113">
        <f ca="1">IF(ISERROR(SEARCH("M",$M20)),"",OFFSET(Weapons!$A$1,MATCH($R20,Weapons!$A$1:$A$199,0)-1,4)+IF(ISERROR(1*$B20),0,Stats!$C$3+4*$B20)+Bonuses!$AK$3+Bonuses!$AS$3+$P$1+$N20)</f>
        <v>60</v>
      </c>
      <c r="E20" s="113">
        <f ca="1">OFFSET(Weapons!$A$1,MATCH($R20,Weapons!$A$1:$A$199,0)-1,7)+Y20+IF("R"=$M20,0,$R$1)+O20+Bonuses!$AL$3</f>
        <v>3</v>
      </c>
      <c r="F20" s="113" t="str">
        <f ca="1">OFFSET(Weapons!$A$1,MATCH($R20,Weapons!$A$1:$A$199,0)-1,1)</f>
        <v>B</v>
      </c>
      <c r="G20" s="113" t="str">
        <f ca="1">IF(ISERROR(SEARCH("C",$M20)),"",Stats!$D$3+Stats!$I$3+IF(ISERROR($B20*1),0,$B20)+Bonuses!$AJ$3+Bonuses!$AU$3+$N$1+$P20)</f>
        <v/>
      </c>
      <c r="H20" s="113" t="str">
        <f ca="1">IF(ISERROR(SEARCH("C",$M20)),"",OFFSET(Weapons!$A$1,MATCH($R20,Weapons!$A$1:$A$199,0)-1,4)+IF(ISERROR(1*$B20),0,Stats!$C$3+4*$B20)+Bonuses!$AK$3+Bonuses!$AV$3+$P$1+$N20)</f>
        <v/>
      </c>
      <c r="I20" s="139" t="str">
        <f ca="1">IF(ISERROR(SEARCH("R",$M20)),"",OFFSET(Weapons!$A$1,MATCH($R20,Weapons!$A$1:$A$199,0)-1,2)&amp;" hx")</f>
        <v/>
      </c>
      <c r="J20" s="113" t="str">
        <f ca="1">IF(ISERROR(SEARCH("R",$M20)),"",Stats!$D$3+Stats!$I$3+IF(ISERROR($B20*1),0,$B20)+Bonuses!$AJ$3+Bonuses!$AX$3+$N$1+$P20)</f>
        <v/>
      </c>
      <c r="K20" s="113" t="str">
        <f ca="1">IF(ISERROR(SEARCH("R",$M20)),"",OFFSET(Weapons!$A$1,MATCH($R20,Weapons!$A$1:$A$199,0)-1,4)+IF(ISERROR(1*$B20),0,Stats!$C$3+4*$B20)+Bonuses!$AK$3+Bonuses!$AY$3+$P$1+$N20)</f>
        <v/>
      </c>
      <c r="L20" s="113">
        <f t="shared" ca="1" si="1"/>
        <v>10</v>
      </c>
      <c r="M20" s="113" t="str">
        <f ca="1">OFFSET(Weapons!$A$1,MATCH($R20,Weapons!$A$1:$A$199,0)-1,3)</f>
        <v>M</v>
      </c>
      <c r="N20" s="107"/>
      <c r="O20" s="158"/>
      <c r="P20" s="107"/>
      <c r="Q20" s="158"/>
      <c r="R20" s="157" t="s">
        <v>42</v>
      </c>
      <c r="S20" s="113" t="str">
        <f ca="1">OFFSET(Weapons!$A$1,MATCH($R20,Weapons!$A$1:$A$199,0)-1,9)</f>
        <v>Un</v>
      </c>
      <c r="T20" s="113" t="str">
        <f ca="1">OFFSET(Weapons!$P$2,MATCH($R20,Weapons!$N$1:$N$199,0)-3,0)</f>
        <v>Un</v>
      </c>
      <c r="U20" s="113">
        <f ca="1">OFFSET(Weapons!$A$1,MATCH($R20,Weapons!$A$1:$A$199,0)-1,6)</f>
        <v>16</v>
      </c>
      <c r="V20" s="113">
        <f ca="1">Stats!$C$3-U20</f>
        <v>-3</v>
      </c>
      <c r="W20" s="113">
        <f ca="1">OFFSET(Weapons!$A$1,MATCH($R20,Weapons!$A$1:$A$199,0)-1,5)</f>
        <v>17</v>
      </c>
      <c r="X20" s="113">
        <f ca="1">Stats!$B$3-W20</f>
        <v>-2</v>
      </c>
      <c r="Y20" s="113">
        <f t="shared" ca="1" si="5"/>
        <v>-2</v>
      </c>
      <c r="Z20" s="46" t="str">
        <f ca="1">OFFSET(Weapons!$A$1,MATCH($R20,Weapons!$A$1:$A$199,0)-1,11)</f>
        <v>1-2</v>
      </c>
      <c r="AA20" s="157"/>
      <c r="AB20" s="113" t="str">
        <f t="shared" ca="1" si="2"/>
        <v>Un</v>
      </c>
      <c r="AC20" s="113">
        <f t="shared" ca="1" si="3"/>
        <v>0</v>
      </c>
      <c r="AD20" s="436"/>
      <c r="AE20" s="436"/>
      <c r="AF20" s="437"/>
      <c r="AG20" s="755" t="s">
        <v>63</v>
      </c>
      <c r="AH20" s="113" t="str">
        <f ca="1">OFFSET(Weapons!$A$1,MATCH($AG20,Weapons!$A$1:$A$199,0)-1,9)</f>
        <v>Un</v>
      </c>
      <c r="AI20" s="437"/>
      <c r="AJ20" s="437"/>
    </row>
    <row r="21" spans="1:36" ht="15.95" customHeight="1" x14ac:dyDescent="0.2">
      <c r="A21" s="157" t="str">
        <f t="shared" si="4"/>
        <v>Glaive</v>
      </c>
      <c r="B21" s="113" t="str">
        <f t="shared" ca="1" si="0"/>
        <v>Un</v>
      </c>
      <c r="C21" s="113">
        <f ca="1">IF(ISERROR(SEARCH("M",$M21)),"",Stats!$D$3+Stats!$I$3+IF(ISERROR($B21*1),0,$B21)+Bonuses!$AJ$3+Bonuses!$AR$3+$N$1+$P21)</f>
        <v>16</v>
      </c>
      <c r="D21" s="113">
        <f ca="1">IF(ISERROR(SEARCH("M",$M21)),"",OFFSET(Weapons!$A$1,MATCH($R21,Weapons!$A$1:$A$199,0)-1,4)+IF(ISERROR(1*$B21),0,Stats!$C$3+4*$B21)+Bonuses!$AK$3+Bonuses!$AS$3+$P$1+$N21)</f>
        <v>55</v>
      </c>
      <c r="E21" s="113">
        <f ca="1">OFFSET(Weapons!$A$1,MATCH($R21,Weapons!$A$1:$A$199,0)-1,7)+Y21+IF("R"=$M21,0,$R$1)+O21+Bonuses!$AL$3</f>
        <v>4</v>
      </c>
      <c r="F21" s="113" t="str">
        <f ca="1">OFFSET(Weapons!$A$1,MATCH($R21,Weapons!$A$1:$A$199,0)-1,1)</f>
        <v>B</v>
      </c>
      <c r="G21" s="113" t="str">
        <f ca="1">IF(ISERROR(SEARCH("C",$M21)),"",Stats!$D$3+Stats!$I$3+IF(ISERROR($B21*1),0,$B21)+Bonuses!$AJ$3+Bonuses!$AU$3+$N$1+$P21)</f>
        <v/>
      </c>
      <c r="H21" s="113" t="str">
        <f ca="1">IF(ISERROR(SEARCH("C",$M21)),"",OFFSET(Weapons!$A$1,MATCH($R21,Weapons!$A$1:$A$199,0)-1,4)+IF(ISERROR(1*$B21),0,Stats!$C$3+4*$B21)+Bonuses!$AK$3+Bonuses!$AV$3+$P$1+$N21)</f>
        <v/>
      </c>
      <c r="I21" s="139" t="str">
        <f ca="1">IF(ISERROR(SEARCH("R",$M21)),"",OFFSET(Weapons!$A$1,MATCH($R21,Weapons!$A$1:$A$199,0)-1,2)&amp;" hx")</f>
        <v/>
      </c>
      <c r="J21" s="113" t="str">
        <f ca="1">IF(ISERROR(SEARCH("R",$M21)),"",Stats!$D$3+Stats!$I$3+IF(ISERROR($B21*1),0,$B21)+Bonuses!$AJ$3+Bonuses!$AX$3+$N$1+$P21)</f>
        <v/>
      </c>
      <c r="K21" s="113" t="str">
        <f ca="1">IF(ISERROR(SEARCH("R",$M21)),"",OFFSET(Weapons!$A$1,MATCH($R21,Weapons!$A$1:$A$199,0)-1,4)+IF(ISERROR(1*$B21),0,Stats!$C$3+4*$B21)+Bonuses!$AK$3+Bonuses!$AY$3+$P$1+$N21)</f>
        <v/>
      </c>
      <c r="L21" s="113">
        <f t="shared" ca="1" si="1"/>
        <v>10</v>
      </c>
      <c r="M21" s="113" t="str">
        <f ca="1">OFFSET(Weapons!$A$1,MATCH($R21,Weapons!$A$1:$A$199,0)-1,3)</f>
        <v>M</v>
      </c>
      <c r="N21" s="107"/>
      <c r="O21" s="158"/>
      <c r="P21" s="107"/>
      <c r="Q21" s="158"/>
      <c r="R21" s="157" t="s">
        <v>38</v>
      </c>
      <c r="S21" s="113" t="str">
        <f ca="1">OFFSET(Weapons!$A$1,MATCH($R21,Weapons!$A$1:$A$199,0)-1,9)</f>
        <v>Un</v>
      </c>
      <c r="T21" s="113" t="str">
        <f ca="1">OFFSET(Weapons!$P$2,MATCH($R21,Weapons!$N$1:$N$199,0)-3,0)</f>
        <v>Un</v>
      </c>
      <c r="U21" s="113">
        <f ca="1">OFFSET(Weapons!$A$1,MATCH($R21,Weapons!$A$1:$A$199,0)-1,6)</f>
        <v>18</v>
      </c>
      <c r="V21" s="113">
        <f ca="1">Stats!$C$3-U21</f>
        <v>-5</v>
      </c>
      <c r="W21" s="113">
        <f ca="1">OFFSET(Weapons!$A$1,MATCH($R21,Weapons!$A$1:$A$199,0)-1,5)</f>
        <v>16</v>
      </c>
      <c r="X21" s="113">
        <f ca="1">Stats!$B$3-W21</f>
        <v>-1</v>
      </c>
      <c r="Y21" s="113">
        <f t="shared" ca="1" si="5"/>
        <v>-1</v>
      </c>
      <c r="Z21" s="46" t="str">
        <f ca="1">OFFSET(Weapons!$A$1,MATCH($R21,Weapons!$A$1:$A$199,0)-1,11)</f>
        <v>2</v>
      </c>
    </row>
    <row r="22" spans="1:36" ht="15.95" customHeight="1" x14ac:dyDescent="0.2">
      <c r="A22" s="157" t="str">
        <f t="shared" si="4"/>
        <v>Scimitar</v>
      </c>
      <c r="B22" s="113" t="str">
        <f t="shared" ca="1" si="0"/>
        <v>Un</v>
      </c>
      <c r="C22" s="113">
        <f ca="1">IF(ISERROR(SEARCH("M",$M22)),"",Stats!$D$3+Stats!$I$3+IF(ISERROR($B22*1),0,$B22)+Bonuses!$AJ$3+Bonuses!$AR$3+$N$1+$P22)</f>
        <v>16</v>
      </c>
      <c r="D22" s="113">
        <f ca="1">IF(ISERROR(SEARCH("M",$M22)),"",OFFSET(Weapons!$A$1,MATCH($R22,Weapons!$A$1:$A$199,0)-1,4)+IF(ISERROR(1*$B22),0,Stats!$C$3+4*$B22)+Bonuses!$AK$3+Bonuses!$AS$3+$P$1+$N22)</f>
        <v>50</v>
      </c>
      <c r="E22" s="113">
        <f ca="1">OFFSET(Weapons!$A$1,MATCH($R22,Weapons!$A$1:$A$199,0)-1,7)+Y22+IF("R"=$M22,0,$R$1)+O22+Bonuses!$AL$3</f>
        <v>3</v>
      </c>
      <c r="F22" s="113" t="str">
        <f ca="1">OFFSET(Weapons!$A$1,MATCH($R22,Weapons!$A$1:$A$199,0)-1,1)</f>
        <v>B</v>
      </c>
      <c r="G22" s="113" t="str">
        <f ca="1">IF(ISERROR(SEARCH("C",$M22)),"",Stats!$D$3+Stats!$I$3+IF(ISERROR($B22*1),0,$B22)+Bonuses!$AJ$3+Bonuses!$AU$3+$N$1+$P22)</f>
        <v/>
      </c>
      <c r="H22" s="113" t="str">
        <f ca="1">IF(ISERROR(SEARCH("C",$M22)),"",OFFSET(Weapons!$A$1,MATCH($R22,Weapons!$A$1:$A$199,0)-1,4)+IF(ISERROR(1*$B22),0,Stats!$C$3+4*$B22)+Bonuses!$AK$3+Bonuses!$AV$3+$P$1+$N22)</f>
        <v/>
      </c>
      <c r="I22" s="139" t="str">
        <f ca="1">IF(ISERROR(SEARCH("R",$M22)),"",OFFSET(Weapons!$A$1,MATCH($R22,Weapons!$A$1:$A$199,0)-1,2)&amp;" hx")</f>
        <v/>
      </c>
      <c r="J22" s="113" t="str">
        <f ca="1">IF(ISERROR(SEARCH("R",$M22)),"",Stats!$D$3+Stats!$I$3+IF(ISERROR($B22*1),0,$B22)+Bonuses!$AJ$3+Bonuses!$AX$3+$N$1+$P22)</f>
        <v/>
      </c>
      <c r="K22" s="113" t="str">
        <f ca="1">IF(ISERROR(SEARCH("R",$M22)),"",OFFSET(Weapons!$A$1,MATCH($R22,Weapons!$A$1:$A$199,0)-1,4)+IF(ISERROR(1*$B22),0,Stats!$C$3+4*$B22)+Bonuses!$AK$3+Bonuses!$AY$3+$P$1+$N22)</f>
        <v/>
      </c>
      <c r="L22" s="113">
        <f t="shared" ca="1" si="1"/>
        <v>10</v>
      </c>
      <c r="M22" s="113" t="str">
        <f ca="1">OFFSET(Weapons!$A$1,MATCH($R22,Weapons!$A$1:$A$199,0)-1,3)</f>
        <v>M</v>
      </c>
      <c r="N22" s="107"/>
      <c r="O22" s="158"/>
      <c r="P22" s="107"/>
      <c r="Q22" s="158"/>
      <c r="R22" s="157" t="s">
        <v>61</v>
      </c>
      <c r="S22" s="113" t="str">
        <f ca="1">OFFSET(Weapons!$A$1,MATCH($R22,Weapons!$A$1:$A$199,0)-1,9)</f>
        <v>Un</v>
      </c>
      <c r="T22" s="113" t="str">
        <f ca="1">OFFSET(Weapons!$P$2,MATCH($R22,Weapons!$N$1:$N$199,0)-3,0)</f>
        <v>Un</v>
      </c>
      <c r="U22" s="113">
        <f ca="1">OFFSET(Weapons!$A$1,MATCH($R22,Weapons!$A$1:$A$199,0)-1,6)</f>
        <v>15</v>
      </c>
      <c r="V22" s="113">
        <f ca="1">Stats!$C$3-U22</f>
        <v>-2</v>
      </c>
      <c r="W22" s="113">
        <f ca="1">OFFSET(Weapons!$A$1,MATCH($R22,Weapons!$A$1:$A$199,0)-1,5)</f>
        <v>11</v>
      </c>
      <c r="X22" s="113">
        <f ca="1">Stats!$B$3-W22</f>
        <v>4</v>
      </c>
      <c r="Y22" s="113">
        <f t="shared" ca="1" si="5"/>
        <v>0</v>
      </c>
      <c r="Z22" s="46">
        <f ca="1">OFFSET(Weapons!$A$1,MATCH($R22,Weapons!$A$1:$A$199,0)-1,11)</f>
        <v>0</v>
      </c>
    </row>
    <row r="23" spans="1:36" ht="15.95" customHeight="1" x14ac:dyDescent="0.2">
      <c r="A23" s="157" t="str">
        <f t="shared" si="4"/>
        <v>Crude Club</v>
      </c>
      <c r="B23" s="113" t="str">
        <f t="shared" ca="1" si="0"/>
        <v>Un</v>
      </c>
      <c r="C23" s="113">
        <f ca="1">IF(ISERROR(SEARCH("M",$M23)),"",Stats!$D$3+Stats!$I$3+IF(ISERROR($B23*1),0,$B23)+Bonuses!$AJ$3+Bonuses!$AR$3+$N$1+$P23)</f>
        <v>16</v>
      </c>
      <c r="D23" s="113">
        <f ca="1">IF(ISERROR(SEARCH("M",$M23)),"",OFFSET(Weapons!$A$1,MATCH($R23,Weapons!$A$1:$A$199,0)-1,4)+IF(ISERROR(1*$B23),0,Stats!$C$3+4*$B23)+Bonuses!$AK$3+Bonuses!$AS$3+$P$1+$N23)</f>
        <v>45</v>
      </c>
      <c r="E23" s="113">
        <f ca="1">OFFSET(Weapons!$A$1,MATCH($R23,Weapons!$A$1:$A$199,0)-1,7)+Y23+IF("R"=$M23,0,$R$1)+O23+Bonuses!$AL$3</f>
        <v>1</v>
      </c>
      <c r="F23" s="113" t="str">
        <f ca="1">OFFSET(Weapons!$A$1,MATCH($R23,Weapons!$A$1:$A$199,0)-1,1)</f>
        <v>C</v>
      </c>
      <c r="G23" s="113" t="str">
        <f ca="1">IF(ISERROR(SEARCH("C",$M23)),"",Stats!$D$3+Stats!$I$3+IF(ISERROR($B23*1),0,$B23)+Bonuses!$AJ$3+Bonuses!$AU$3+$N$1+$P23)</f>
        <v/>
      </c>
      <c r="H23" s="113" t="str">
        <f ca="1">IF(ISERROR(SEARCH("C",$M23)),"",OFFSET(Weapons!$A$1,MATCH($R23,Weapons!$A$1:$A$199,0)-1,4)+IF(ISERROR(1*$B23),0,Stats!$C$3+4*$B23)+Bonuses!$AK$3+Bonuses!$AV$3+$P$1+$N23)</f>
        <v/>
      </c>
      <c r="I23" s="139" t="str">
        <f ca="1">IF(ISERROR(SEARCH("R",$M23)),"",OFFSET(Weapons!$A$1,MATCH($R23,Weapons!$A$1:$A$199,0)-1,2)&amp;" hx")</f>
        <v>6 hx</v>
      </c>
      <c r="J23" s="113">
        <f ca="1">IF(ISERROR(SEARCH("R",$M23)),"",Stats!$D$3+Stats!$I$3+IF(ISERROR($B23*1),0,$B23)+Bonuses!$AJ$3+Bonuses!$AX$3+$N$1+$P23)</f>
        <v>16</v>
      </c>
      <c r="K23" s="113">
        <f ca="1">IF(ISERROR(SEARCH("R",$M23)),"",OFFSET(Weapons!$A$1,MATCH($R23,Weapons!$A$1:$A$199,0)-1,4)+IF(ISERROR(1*$B23),0,Stats!$C$3+4*$B23)+Bonuses!$AK$3+Bonuses!$AY$3+$P$1+$N23)</f>
        <v>45</v>
      </c>
      <c r="L23" s="113">
        <f t="shared" ca="1" si="1"/>
        <v>10</v>
      </c>
      <c r="M23" s="113" t="str">
        <f ca="1">OFFSET(Weapons!$A$1,MATCH($R23,Weapons!$A$1:$A$199,0)-1,3)</f>
        <v>RM</v>
      </c>
      <c r="N23" s="107"/>
      <c r="O23" s="158"/>
      <c r="P23" s="107"/>
      <c r="Q23" s="158"/>
      <c r="R23" s="157" t="s">
        <v>25</v>
      </c>
      <c r="S23" s="113" t="str">
        <f ca="1">OFFSET(Weapons!$A$1,MATCH($R23,Weapons!$A$1:$A$199,0)-1,9)</f>
        <v>Un</v>
      </c>
      <c r="T23" s="113" t="str">
        <f ca="1">OFFSET(Weapons!$P$2,MATCH($R23,Weapons!$N$1:$N$199,0)-3,0)</f>
        <v>Un</v>
      </c>
      <c r="U23" s="113">
        <f ca="1">OFFSET(Weapons!$A$1,MATCH($R23,Weapons!$A$1:$A$199,0)-1,6)</f>
        <v>10</v>
      </c>
      <c r="V23" s="113">
        <f ca="1">Stats!$C$3-U23</f>
        <v>3</v>
      </c>
      <c r="W23" s="113">
        <f ca="1">OFFSET(Weapons!$A$1,MATCH($R23,Weapons!$A$1:$A$199,0)-1,5)</f>
        <v>16</v>
      </c>
      <c r="X23" s="113">
        <f ca="1">Stats!$B$3-W23</f>
        <v>-1</v>
      </c>
      <c r="Y23" s="113">
        <f t="shared" ca="1" si="5"/>
        <v>-1</v>
      </c>
      <c r="Z23" s="46">
        <f ca="1">OFFSET(Weapons!$A$1,MATCH($R23,Weapons!$A$1:$A$199,0)-1,11)</f>
        <v>0</v>
      </c>
    </row>
    <row r="24" spans="1:36" ht="15.95" customHeight="1" x14ac:dyDescent="0.2">
      <c r="A24" s="157" t="str">
        <f t="shared" si="4"/>
        <v>Rock</v>
      </c>
      <c r="B24" s="113" t="str">
        <f t="shared" ca="1" si="0"/>
        <v>Un</v>
      </c>
      <c r="C24" s="113">
        <f ca="1">IF(ISERROR(SEARCH("M",$M24)),"",Stats!$D$3+Stats!$I$3+IF(ISERROR($B24*1),0,$B24)+Bonuses!$AJ$3+Bonuses!$AR$3+$N$1+$P24)</f>
        <v>16</v>
      </c>
      <c r="D24" s="113">
        <f ca="1">IF(ISERROR(SEARCH("M",$M24)),"",OFFSET(Weapons!$A$1,MATCH($R24,Weapons!$A$1:$A$199,0)-1,4)+IF(ISERROR(1*$B24),0,Stats!$C$3+4*$B24)+Bonuses!$AK$3+Bonuses!$AS$3+$P$1+$N24)</f>
        <v>30</v>
      </c>
      <c r="E24" s="113">
        <f ca="1">OFFSET(Weapons!$A$1,MATCH($R24,Weapons!$A$1:$A$199,0)-1,7)+Y24+IF("R"=$M24,0,$R$1)+O24+Bonuses!$AL$3</f>
        <v>1</v>
      </c>
      <c r="F24" s="113" t="str">
        <f ca="1">OFFSET(Weapons!$A$1,MATCH($R24,Weapons!$A$1:$A$199,0)-1,1)</f>
        <v>C</v>
      </c>
      <c r="G24" s="113">
        <f ca="1">IF(ISERROR(SEARCH("C",$M24)),"",Stats!$D$3+Stats!$I$3+IF(ISERROR($B24*1),0,$B24)+Bonuses!$AJ$3+Bonuses!$AU$3+$N$1+$P24)</f>
        <v>16</v>
      </c>
      <c r="H24" s="113">
        <f ca="1">IF(ISERROR(SEARCH("C",$M24)),"",OFFSET(Weapons!$A$1,MATCH($R24,Weapons!$A$1:$A$199,0)-1,4)+IF(ISERROR(1*$B24),0,Stats!$C$3+4*$B24)+Bonuses!$AK$3+Bonuses!$AV$3+$P$1+$N24)</f>
        <v>30</v>
      </c>
      <c r="I24" s="139" t="str">
        <f ca="1">IF(ISERROR(SEARCH("R",$M24)),"",OFFSET(Weapons!$A$1,MATCH($R24,Weapons!$A$1:$A$199,0)-1,2)&amp;" hx")</f>
        <v>8 hx</v>
      </c>
      <c r="J24" s="113">
        <f ca="1">IF(ISERROR(SEARCH("R",$M24)),"",Stats!$D$3+Stats!$I$3+IF(ISERROR($B24*1),0,$B24)+Bonuses!$AJ$3+Bonuses!$AX$3+$N$1+$P24)</f>
        <v>16</v>
      </c>
      <c r="K24" s="113">
        <f ca="1">IF(ISERROR(SEARCH("R",$M24)),"",OFFSET(Weapons!$A$1,MATCH($R24,Weapons!$A$1:$A$199,0)-1,4)+IF(ISERROR(1*$B24),0,Stats!$C$3+4*$B24)+Bonuses!$AK$3+Bonuses!$AY$3+$P$1+$N24)</f>
        <v>30</v>
      </c>
      <c r="L24" s="113">
        <f t="shared" ca="1" si="1"/>
        <v>10</v>
      </c>
      <c r="M24" s="113" t="str">
        <f ca="1">OFFSET(Weapons!$A$1,MATCH($R24,Weapons!$A$1:$A$199,0)-1,3)</f>
        <v>RMC</v>
      </c>
      <c r="N24" s="107"/>
      <c r="O24" s="158"/>
      <c r="P24" s="107"/>
      <c r="Q24" s="158"/>
      <c r="R24" s="157" t="s">
        <v>58</v>
      </c>
      <c r="S24" s="113" t="str">
        <f ca="1">OFFSET(Weapons!$A$1,MATCH($R24,Weapons!$A$1:$A$199,0)-1,9)</f>
        <v>Un</v>
      </c>
      <c r="T24" s="113" t="str">
        <f ca="1">OFFSET(Weapons!$P$2,MATCH($R24,Weapons!$N$1:$N$199,0)-3,0)</f>
        <v>Un</v>
      </c>
      <c r="U24" s="113">
        <f ca="1">OFFSET(Weapons!$A$1,MATCH($R24,Weapons!$A$1:$A$199,0)-1,6)</f>
        <v>10</v>
      </c>
      <c r="V24" s="113">
        <f ca="1">Stats!$C$3-U24</f>
        <v>3</v>
      </c>
      <c r="W24" s="113">
        <f ca="1">OFFSET(Weapons!$A$1,MATCH($R24,Weapons!$A$1:$A$199,0)-1,5)</f>
        <v>5</v>
      </c>
      <c r="X24" s="113">
        <f ca="1">Stats!$B$3-W24</f>
        <v>10</v>
      </c>
      <c r="Y24" s="113">
        <f t="shared" ca="1" si="5"/>
        <v>2</v>
      </c>
      <c r="Z24" s="46">
        <f ca="1">OFFSET(Weapons!$A$1,MATCH($R24,Weapons!$A$1:$A$199,0)-1,11)</f>
        <v>0</v>
      </c>
    </row>
    <row r="25" spans="1:36" ht="15.95" customHeight="1" x14ac:dyDescent="0.2">
      <c r="A25" s="157" t="str">
        <f t="shared" si="4"/>
        <v>Rapier</v>
      </c>
      <c r="B25" s="113" t="str">
        <f t="shared" ca="1" si="0"/>
        <v>Un</v>
      </c>
      <c r="C25" s="113">
        <f ca="1">IF(ISERROR(SEARCH("M",$M25)),"",Stats!$D$3+Stats!$I$3+IF(ISERROR($B25*1),0,$B25)+Bonuses!$AJ$3+Bonuses!$AR$3+$N$1+$P25)</f>
        <v>16</v>
      </c>
      <c r="D25" s="113">
        <f ca="1">IF(ISERROR(SEARCH("M",$M25)),"",OFFSET(Weapons!$A$1,MATCH($R25,Weapons!$A$1:$A$199,0)-1,4)+IF(ISERROR(1*$B25),0,Stats!$C$3+4*$B25)+Bonuses!$AK$3+Bonuses!$AS$3+$P$1+$N25)</f>
        <v>45</v>
      </c>
      <c r="E25" s="113">
        <f ca="1">OFFSET(Weapons!$A$1,MATCH($R25,Weapons!$A$1:$A$199,0)-1,7)+Y25+IF("R"=$M25,0,$R$1)+O25+Bonuses!$AL$3</f>
        <v>3</v>
      </c>
      <c r="F25" s="113" t="str">
        <f ca="1">OFFSET(Weapons!$A$1,MATCH($R25,Weapons!$A$1:$A$199,0)-1,1)</f>
        <v>A</v>
      </c>
      <c r="G25" s="113" t="str">
        <f ca="1">IF(ISERROR(SEARCH("C",$M25)),"",Stats!$D$3+Stats!$I$3+IF(ISERROR($B25*1),0,$B25)+Bonuses!$AJ$3+Bonuses!$AU$3+$N$1+$P25)</f>
        <v/>
      </c>
      <c r="H25" s="113" t="str">
        <f ca="1">IF(ISERROR(SEARCH("C",$M25)),"",OFFSET(Weapons!$A$1,MATCH($R25,Weapons!$A$1:$A$199,0)-1,4)+IF(ISERROR(1*$B25),0,Stats!$C$3+4*$B25)+Bonuses!$AK$3+Bonuses!$AV$3+$P$1+$N25)</f>
        <v/>
      </c>
      <c r="I25" s="139" t="str">
        <f ca="1">IF(ISERROR(SEARCH("R",$M25)),"",OFFSET(Weapons!$A$1,MATCH($R25,Weapons!$A$1:$A$199,0)-1,2)&amp;" hx")</f>
        <v/>
      </c>
      <c r="J25" s="113" t="str">
        <f ca="1">IF(ISERROR(SEARCH("R",$M25)),"",Stats!$D$3+Stats!$I$3+IF(ISERROR($B25*1),0,$B25)+Bonuses!$AJ$3+Bonuses!$AX$3+$N$1+$P25)</f>
        <v/>
      </c>
      <c r="K25" s="113" t="str">
        <f ca="1">IF(ISERROR(SEARCH("R",$M25)),"",OFFSET(Weapons!$A$1,MATCH($R25,Weapons!$A$1:$A$199,0)-1,4)+IF(ISERROR(1*$B25),0,Stats!$C$3+4*$B25)+Bonuses!$AK$3+Bonuses!$AY$3+$P$1+$N25)</f>
        <v/>
      </c>
      <c r="L25" s="113">
        <f t="shared" ca="1" si="1"/>
        <v>10</v>
      </c>
      <c r="M25" s="113" t="str">
        <f ca="1">OFFSET(Weapons!$A$1,MATCH($R25,Weapons!$A$1:$A$199,0)-1,3)</f>
        <v>M</v>
      </c>
      <c r="N25" s="107"/>
      <c r="O25" s="158"/>
      <c r="P25" s="107"/>
      <c r="Q25" s="158"/>
      <c r="R25" s="157" t="s">
        <v>57</v>
      </c>
      <c r="S25" s="113" t="str">
        <f ca="1">OFFSET(Weapons!$A$1,MATCH($R25,Weapons!$A$1:$A$199,0)-1,9)</f>
        <v>Un</v>
      </c>
      <c r="T25" s="113" t="str">
        <f ca="1">OFFSET(Weapons!$P$2,MATCH($R25,Weapons!$N$1:$N$199,0)-3,0)</f>
        <v>Un</v>
      </c>
      <c r="U25" s="113">
        <f ca="1">OFFSET(Weapons!$A$1,MATCH($R25,Weapons!$A$1:$A$199,0)-1,6)</f>
        <v>18</v>
      </c>
      <c r="V25" s="113">
        <f ca="1">Stats!$C$3-U25</f>
        <v>-5</v>
      </c>
      <c r="W25" s="113">
        <f ca="1">OFFSET(Weapons!$A$1,MATCH($R25,Weapons!$A$1:$A$199,0)-1,5)</f>
        <v>11</v>
      </c>
      <c r="X25" s="113">
        <f ca="1">Stats!$B$3-W25</f>
        <v>4</v>
      </c>
      <c r="Y25" s="113">
        <f t="shared" ca="1" si="5"/>
        <v>0</v>
      </c>
      <c r="Z25" s="46">
        <f ca="1">OFFSET(Weapons!$A$1,MATCH($R25,Weapons!$A$1:$A$199,0)-1,11)</f>
        <v>0</v>
      </c>
    </row>
    <row r="26" spans="1:36" ht="15.95" customHeight="1" x14ac:dyDescent="0.2">
      <c r="A26" s="157" t="str">
        <f t="shared" si="4"/>
        <v>Main-Gauche</v>
      </c>
      <c r="B26" s="113" t="str">
        <f t="shared" ca="1" si="0"/>
        <v>Un</v>
      </c>
      <c r="C26" s="113">
        <f ca="1">IF(ISERROR(SEARCH("M",$M26)),"",Stats!$D$3+Stats!$I$3+IF(ISERROR($B26*1),0,$B26)+Bonuses!$AJ$3+Bonuses!$AR$3+$N$1+$P26)</f>
        <v>16</v>
      </c>
      <c r="D26" s="113">
        <f ca="1">IF(ISERROR(SEARCH("M",$M26)),"",OFFSET(Weapons!$A$1,MATCH($R26,Weapons!$A$1:$A$199,0)-1,4)+IF(ISERROR(1*$B26),0,Stats!$C$3+4*$B26)+Bonuses!$AK$3+Bonuses!$AS$3+$P$1+$N26)</f>
        <v>45</v>
      </c>
      <c r="E26" s="113">
        <f ca="1">OFFSET(Weapons!$A$1,MATCH($R26,Weapons!$A$1:$A$199,0)-1,7)+Y26+IF("R"=$M26,0,$R$1)+O26+Bonuses!$AL$3</f>
        <v>2</v>
      </c>
      <c r="F26" s="113" t="str">
        <f ca="1">OFFSET(Weapons!$A$1,MATCH($R26,Weapons!$A$1:$A$199,0)-1,1)</f>
        <v>A</v>
      </c>
      <c r="G26" s="113">
        <f ca="1">IF(ISERROR(SEARCH("C",$M26)),"",Stats!$D$3+Stats!$I$3+IF(ISERROR($B26*1),0,$B26)+Bonuses!$AJ$3+Bonuses!$AU$3+$N$1+$P26)</f>
        <v>16</v>
      </c>
      <c r="H26" s="113">
        <f ca="1">IF(ISERROR(SEARCH("C",$M26)),"",OFFSET(Weapons!$A$1,MATCH($R26,Weapons!$A$1:$A$199,0)-1,4)+IF(ISERROR(1*$B26),0,Stats!$C$3+4*$B26)+Bonuses!$AK$3+Bonuses!$AV$3+$P$1+$N26)</f>
        <v>45</v>
      </c>
      <c r="I26" s="139" t="str">
        <f ca="1">IF(ISERROR(SEARCH("R",$M26)),"",OFFSET(Weapons!$A$1,MATCH($R26,Weapons!$A$1:$A$199,0)-1,2)&amp;" hx")</f>
        <v/>
      </c>
      <c r="J26" s="113" t="str">
        <f ca="1">IF(ISERROR(SEARCH("R",$M26)),"",Stats!$D$3+Stats!$I$3+IF(ISERROR($B26*1),0,$B26)+Bonuses!$AJ$3+Bonuses!$AX$3+$N$1+$P26)</f>
        <v/>
      </c>
      <c r="K26" s="113" t="str">
        <f ca="1">IF(ISERROR(SEARCH("R",$M26)),"",OFFSET(Weapons!$A$1,MATCH($R26,Weapons!$A$1:$A$199,0)-1,4)+IF(ISERROR(1*$B26),0,Stats!$C$3+4*$B26)+Bonuses!$AK$3+Bonuses!$AY$3+$P$1+$N26)</f>
        <v/>
      </c>
      <c r="L26" s="113">
        <f t="shared" ca="1" si="1"/>
        <v>10</v>
      </c>
      <c r="M26" s="113" t="str">
        <f ca="1">OFFSET(Weapons!$A$1,MATCH($R26,Weapons!$A$1:$A$199,0)-1,3)</f>
        <v>MC</v>
      </c>
      <c r="N26" s="107"/>
      <c r="O26" s="158"/>
      <c r="P26" s="107"/>
      <c r="Q26" s="158"/>
      <c r="R26" s="157" t="s">
        <v>50</v>
      </c>
      <c r="S26" s="113" t="str">
        <f ca="1">OFFSET(Weapons!$A$1,MATCH($R26,Weapons!$A$1:$A$199,0)-1,9)</f>
        <v>Un</v>
      </c>
      <c r="T26" s="113" t="str">
        <f ca="1">OFFSET(Weapons!$P$2,MATCH($R26,Weapons!$N$1:$N$199,0)-3,0)</f>
        <v>Un</v>
      </c>
      <c r="U26" s="113">
        <f ca="1">OFFSET(Weapons!$A$1,MATCH($R26,Weapons!$A$1:$A$199,0)-1,6)</f>
        <v>15</v>
      </c>
      <c r="V26" s="113">
        <f ca="1">Stats!$C$3-U26</f>
        <v>-2</v>
      </c>
      <c r="W26" s="113">
        <f ca="1">OFFSET(Weapons!$A$1,MATCH($R26,Weapons!$A$1:$A$199,0)-1,5)</f>
        <v>8</v>
      </c>
      <c r="X26" s="113">
        <f ca="1">Stats!$B$3-W26</f>
        <v>7</v>
      </c>
      <c r="Y26" s="113">
        <f t="shared" ca="1" si="5"/>
        <v>1</v>
      </c>
      <c r="Z26" s="46">
        <f ca="1">OFFSET(Weapons!$A$1,MATCH($R26,Weapons!$A$1:$A$199,0)-1,11)</f>
        <v>0</v>
      </c>
    </row>
  </sheetData>
  <mergeCells count="8">
    <mergeCell ref="C5:D5"/>
    <mergeCell ref="B3:D3"/>
    <mergeCell ref="E1:F1"/>
    <mergeCell ref="E2:F2"/>
    <mergeCell ref="E3:F3"/>
    <mergeCell ref="Q4:R4"/>
    <mergeCell ref="G5:H5"/>
    <mergeCell ref="I5:K5"/>
  </mergeCells>
  <phoneticPr fontId="3" type="noConversion"/>
  <conditionalFormatting sqref="B2">
    <cfRule type="cellIs" dxfId="6" priority="1" stopIfTrue="1" operator="lessThan">
      <formula>$I$2</formula>
    </cfRule>
  </conditionalFormatting>
  <dataValidations count="1">
    <dataValidation type="list" allowBlank="1" showErrorMessage="1" errorTitle="Default Shield" error="You must select one of the shields as defined on the right._x000a_This is the shield that gives you your Shield Defence (when you are using it)." sqref="Q4:R4" xr:uid="{00000000-0002-0000-0400-000000000000}">
      <formula1>$AA$7:$AA$20</formula1>
    </dataValidation>
  </dataValidations>
  <pageMargins left="0.39370078740157483" right="0.39370078740157483" top="0.39370078740157483" bottom="0.39370078740157483" header="0.39370078740157483" footer="0.39370078740157483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W106"/>
  <sheetViews>
    <sheetView workbookViewId="0">
      <pane ySplit="1" topLeftCell="A40" activePane="bottomLeft" state="frozen"/>
      <selection pane="bottomLeft" activeCell="B58" sqref="B58"/>
    </sheetView>
  </sheetViews>
  <sheetFormatPr defaultColWidth="9.140625" defaultRowHeight="15" customHeight="1" x14ac:dyDescent="0.2"/>
  <cols>
    <col min="1" max="1" width="20.42578125" style="38" customWidth="1"/>
    <col min="2" max="2" width="4.7109375" style="46" customWidth="1"/>
    <col min="3" max="3" width="7.7109375" style="46" customWidth="1"/>
    <col min="4" max="4" width="43" style="38" customWidth="1"/>
    <col min="5" max="10" width="9.140625" style="38"/>
    <col min="11" max="11" width="9.140625" style="630"/>
    <col min="12" max="16384" width="9.140625" style="38"/>
  </cols>
  <sheetData>
    <row r="1" spans="1:23" s="35" customFormat="1" ht="15" customHeight="1" x14ac:dyDescent="0.2">
      <c r="A1" s="35" t="s">
        <v>148</v>
      </c>
      <c r="B1" s="36" t="s">
        <v>149</v>
      </c>
      <c r="C1" s="36" t="s">
        <v>150</v>
      </c>
      <c r="D1" s="35" t="s">
        <v>156</v>
      </c>
      <c r="F1" s="3" t="s">
        <v>169</v>
      </c>
      <c r="G1" s="3" t="s">
        <v>171</v>
      </c>
      <c r="H1" s="36" t="s">
        <v>1271</v>
      </c>
      <c r="I1" s="35" t="s">
        <v>1269</v>
      </c>
      <c r="J1" s="35" t="s">
        <v>1268</v>
      </c>
      <c r="K1" s="629" t="s">
        <v>1595</v>
      </c>
      <c r="L1" s="35" t="s">
        <v>233</v>
      </c>
      <c r="M1" s="35" t="s">
        <v>364</v>
      </c>
      <c r="N1" s="35">
        <v>1</v>
      </c>
      <c r="O1" s="35">
        <v>2</v>
      </c>
      <c r="P1" s="35">
        <v>3</v>
      </c>
      <c r="Q1" s="35">
        <v>4</v>
      </c>
      <c r="R1" s="35">
        <v>5</v>
      </c>
      <c r="S1" s="35">
        <v>6</v>
      </c>
      <c r="T1" s="35">
        <v>7</v>
      </c>
      <c r="U1" s="35">
        <v>8</v>
      </c>
      <c r="V1" s="35">
        <v>9</v>
      </c>
      <c r="W1" s="35">
        <v>10</v>
      </c>
    </row>
    <row r="2" spans="1:23" ht="15" customHeight="1" x14ac:dyDescent="0.2">
      <c r="A2" s="127" t="s">
        <v>593</v>
      </c>
      <c r="B2" s="175" t="s">
        <v>283</v>
      </c>
      <c r="C2" s="128"/>
      <c r="D2" s="127"/>
      <c r="F2" s="380"/>
      <c r="G2" s="380"/>
      <c r="H2" s="38">
        <f>IFERROR(B2+G2,-1+G2)</f>
        <v>-1</v>
      </c>
      <c r="I2" s="38">
        <v>7</v>
      </c>
      <c r="J2" s="38">
        <v>56</v>
      </c>
      <c r="K2" s="630">
        <v>1</v>
      </c>
      <c r="M2" s="38">
        <v>800</v>
      </c>
      <c r="N2" s="38">
        <v>350</v>
      </c>
      <c r="O2" s="38">
        <v>1200</v>
      </c>
      <c r="P2" s="38">
        <v>2650</v>
      </c>
      <c r="Q2" s="38">
        <v>4350</v>
      </c>
      <c r="R2" s="38">
        <v>6500</v>
      </c>
      <c r="S2" s="38">
        <v>8650</v>
      </c>
      <c r="T2" s="38">
        <v>11100</v>
      </c>
      <c r="U2" s="38">
        <v>12750</v>
      </c>
      <c r="V2" s="38">
        <v>14500</v>
      </c>
      <c r="W2" s="38">
        <v>17000</v>
      </c>
    </row>
    <row r="4" spans="1:23" ht="15" customHeight="1" x14ac:dyDescent="0.2">
      <c r="A4" s="127" t="s">
        <v>594</v>
      </c>
      <c r="B4" s="175" t="s">
        <v>283</v>
      </c>
      <c r="C4" s="128"/>
      <c r="D4" s="176" t="s">
        <v>595</v>
      </c>
      <c r="F4" s="380"/>
      <c r="G4" s="380"/>
      <c r="H4" s="38">
        <f>IFERROR(B4+G4,-1+G4)</f>
        <v>-1</v>
      </c>
      <c r="I4" s="38">
        <v>7</v>
      </c>
      <c r="J4" s="38">
        <v>56</v>
      </c>
      <c r="K4" s="630">
        <f>(1+MAX((16-MAX(Ranking!$C$11,Stats!$C$2))*0.05,0)+MIN((20-MAX(Ranking!$C$11,Stats!$C$2))*0.05,0))*IF(IFERROR(1*$B$61,-1)&gt;IFERROR(1*$B$4,-1),0.75,1)</f>
        <v>1.05</v>
      </c>
      <c r="M4" s="38">
        <v>600</v>
      </c>
      <c r="N4" s="38">
        <v>300</v>
      </c>
      <c r="O4" s="38">
        <v>800</v>
      </c>
      <c r="P4" s="38">
        <v>1600</v>
      </c>
      <c r="Q4" s="38">
        <v>3000</v>
      </c>
      <c r="R4" s="38">
        <v>5500</v>
      </c>
      <c r="S4" s="38">
        <v>6200</v>
      </c>
      <c r="T4" s="38">
        <v>7300</v>
      </c>
      <c r="U4" s="38">
        <v>8800</v>
      </c>
      <c r="V4" s="38">
        <v>10800</v>
      </c>
      <c r="W4" s="38">
        <v>14000</v>
      </c>
    </row>
    <row r="6" spans="1:23" ht="15" customHeight="1" x14ac:dyDescent="0.2">
      <c r="A6" s="127" t="s">
        <v>365</v>
      </c>
      <c r="B6" s="175" t="s">
        <v>283</v>
      </c>
      <c r="C6" s="128"/>
      <c r="D6" s="127"/>
      <c r="F6" s="380"/>
      <c r="G6" s="380"/>
      <c r="H6" s="38">
        <f>IFERROR(B6+G6,-1+G6)</f>
        <v>-1</v>
      </c>
      <c r="I6" s="38">
        <v>7</v>
      </c>
      <c r="J6" s="38">
        <v>56</v>
      </c>
      <c r="K6" s="630">
        <f>(1-VLOOKUP(Setup!$B$3,Setup!$A$30:$Y$37,24,FALSE))</f>
        <v>1</v>
      </c>
      <c r="M6" s="38">
        <v>600</v>
      </c>
      <c r="N6" s="38">
        <v>250</v>
      </c>
      <c r="O6" s="38">
        <v>750</v>
      </c>
      <c r="P6" s="38">
        <v>1700</v>
      </c>
      <c r="Q6" s="38">
        <v>2900</v>
      </c>
      <c r="R6" s="38">
        <v>4200</v>
      </c>
      <c r="S6" s="38">
        <v>5750</v>
      </c>
      <c r="T6" s="38">
        <v>7550</v>
      </c>
      <c r="U6" s="38">
        <v>9500</v>
      </c>
      <c r="V6" s="38">
        <v>11700</v>
      </c>
      <c r="W6" s="38">
        <v>14100</v>
      </c>
    </row>
    <row r="8" spans="1:23" ht="15" customHeight="1" x14ac:dyDescent="0.2">
      <c r="A8" s="127" t="s">
        <v>596</v>
      </c>
      <c r="B8" s="175" t="s">
        <v>283</v>
      </c>
      <c r="C8" s="128"/>
      <c r="D8" s="127"/>
      <c r="F8" s="380"/>
      <c r="G8" s="380"/>
      <c r="H8" s="38">
        <f>IFERROR(B8+G8,-1+G8)</f>
        <v>-1</v>
      </c>
      <c r="I8" s="38">
        <v>7</v>
      </c>
      <c r="J8" s="38">
        <v>56</v>
      </c>
      <c r="K8" s="630">
        <v>1</v>
      </c>
      <c r="M8" s="38">
        <v>400</v>
      </c>
      <c r="N8" s="38">
        <v>150</v>
      </c>
      <c r="O8" s="38">
        <v>500</v>
      </c>
      <c r="P8" s="38">
        <v>1150</v>
      </c>
      <c r="Q8" s="38">
        <v>2050</v>
      </c>
      <c r="R8" s="38">
        <v>3100</v>
      </c>
      <c r="S8" s="38">
        <v>4400</v>
      </c>
      <c r="T8" s="38">
        <v>5900</v>
      </c>
      <c r="U8" s="38">
        <v>7500</v>
      </c>
      <c r="V8" s="38">
        <v>9400</v>
      </c>
      <c r="W8" s="38">
        <v>11500</v>
      </c>
    </row>
    <row r="10" spans="1:23" ht="15" customHeight="1" x14ac:dyDescent="0.2">
      <c r="A10" s="127" t="s">
        <v>597</v>
      </c>
      <c r="B10" s="175" t="s">
        <v>283</v>
      </c>
      <c r="C10" s="128"/>
      <c r="D10" s="176" t="s">
        <v>598</v>
      </c>
      <c r="F10" s="380"/>
      <c r="G10" s="380"/>
      <c r="H10" s="38">
        <f>IFERROR(B10+G10,-1+G10)</f>
        <v>-1</v>
      </c>
      <c r="I10" s="38">
        <v>7</v>
      </c>
      <c r="J10" s="38">
        <v>56</v>
      </c>
      <c r="K10" s="630">
        <v>1</v>
      </c>
      <c r="M10" s="38">
        <v>600</v>
      </c>
      <c r="N10" s="38">
        <v>250</v>
      </c>
      <c r="O10" s="38">
        <v>750</v>
      </c>
      <c r="P10" s="38">
        <v>1650</v>
      </c>
      <c r="Q10" s="38">
        <v>2800</v>
      </c>
      <c r="R10" s="38">
        <v>4300</v>
      </c>
      <c r="S10" s="38">
        <v>5600</v>
      </c>
      <c r="T10" s="38">
        <v>7350</v>
      </c>
      <c r="U10" s="38">
        <v>9300</v>
      </c>
      <c r="V10" s="38">
        <v>11400</v>
      </c>
      <c r="W10" s="38">
        <v>13750</v>
      </c>
    </row>
    <row r="12" spans="1:23" ht="15" customHeight="1" x14ac:dyDescent="0.2">
      <c r="A12" s="127" t="s">
        <v>160</v>
      </c>
      <c r="B12" s="175" t="s">
        <v>283</v>
      </c>
      <c r="C12" s="128"/>
      <c r="D12" s="176" t="s">
        <v>588</v>
      </c>
      <c r="F12" s="380"/>
      <c r="G12" s="380"/>
      <c r="H12" s="38">
        <f>IFERROR(B12+G12,-1+G12)</f>
        <v>-1</v>
      </c>
      <c r="I12" s="38">
        <v>7</v>
      </c>
      <c r="J12" s="38">
        <v>56</v>
      </c>
      <c r="K12" s="630">
        <f>IF(MAX(Ranking!$C$12,Stats!$D$2)&lt;12,1.1,IF(MAX(Ranking!$C$12,Stats!$D$2)&gt;22,0.9,1))*IF(Stats!$K$2&lt;15,1.1,IF(Stats!$K$2&gt;20,0.9,1))*(1-VLOOKUP(Setup!$B$3,Setup!$A$30:$Y$37,20,FALSE))</f>
        <v>1</v>
      </c>
      <c r="M12" s="38">
        <v>250</v>
      </c>
      <c r="N12" s="38">
        <v>100</v>
      </c>
      <c r="O12" s="38">
        <v>200</v>
      </c>
      <c r="P12" s="38">
        <v>500</v>
      </c>
      <c r="Q12" s="38">
        <v>950</v>
      </c>
      <c r="R12" s="38">
        <v>1450</v>
      </c>
      <c r="S12" s="38">
        <v>2050</v>
      </c>
      <c r="T12" s="38">
        <v>2800</v>
      </c>
      <c r="U12" s="38">
        <v>3600</v>
      </c>
      <c r="V12" s="38">
        <v>6300</v>
      </c>
      <c r="W12" s="38">
        <v>8000</v>
      </c>
    </row>
    <row r="14" spans="1:23" ht="15" customHeight="1" x14ac:dyDescent="0.2">
      <c r="A14" s="127" t="s">
        <v>591</v>
      </c>
      <c r="B14" s="175" t="s">
        <v>283</v>
      </c>
      <c r="C14" s="128" t="str">
        <f>IF($H$14&lt;3,"",90 + $H$14 + Bonuses!$R$3+$F$14)</f>
        <v/>
      </c>
      <c r="D14" s="127" t="str">
        <f>IF($H$14&lt;3,"","3FT Heal D+" &amp; $H$14-5 &amp; " Endurance or Transfer FT: " &amp; 11-$H$14 &amp; " mins")</f>
        <v/>
      </c>
      <c r="F14" s="380"/>
      <c r="G14" s="380"/>
      <c r="H14" s="38">
        <f>IFERROR(B14+G14,-1+G14)</f>
        <v>-1</v>
      </c>
      <c r="I14" s="38">
        <v>7</v>
      </c>
      <c r="J14" s="38">
        <v>56</v>
      </c>
      <c r="K14" s="630">
        <f>(1-VLOOKUP(Setup!$B$3,Setup!$A$30:$Y$37,21,FALSE))</f>
        <v>1</v>
      </c>
      <c r="M14" s="38">
        <v>1000</v>
      </c>
      <c r="N14" s="38">
        <v>400</v>
      </c>
      <c r="O14" s="38">
        <v>1600</v>
      </c>
      <c r="P14" s="38">
        <v>3500</v>
      </c>
      <c r="Q14" s="38">
        <v>5800</v>
      </c>
      <c r="R14" s="38">
        <v>8400</v>
      </c>
      <c r="S14" s="38">
        <v>11400</v>
      </c>
      <c r="T14" s="38">
        <v>14700</v>
      </c>
      <c r="U14" s="38">
        <v>18500</v>
      </c>
      <c r="V14" s="38">
        <v>22500</v>
      </c>
      <c r="W14" s="38">
        <v>26750</v>
      </c>
    </row>
    <row r="15" spans="1:23" ht="15" customHeight="1" x14ac:dyDescent="0.2">
      <c r="C15" s="367" t="str">
        <f>IF($H$14&lt;5,"",90 + $H$14 + Bonuses!$R$3+$F$14)</f>
        <v/>
      </c>
      <c r="D15" s="366" t="str">
        <f>IF($H$14&lt;5,"","5-7FT Repair Damage " &amp; 50-$H$14*3 &amp; " hours")</f>
        <v/>
      </c>
    </row>
    <row r="16" spans="1:23" ht="15" customHeight="1" x14ac:dyDescent="0.2">
      <c r="C16" s="367" t="str">
        <f>IF($H$14&lt;8,"",(8*$H$14)+Bonuses!$R$3+$F$14&amp;" +EN")</f>
        <v/>
      </c>
      <c r="D16" s="366" t="str">
        <f>IF($H$14&lt;8,"","8FT Resurrection " &amp; 60-$H$14*5 &amp; " mins")</f>
        <v/>
      </c>
    </row>
    <row r="17" spans="1:23" ht="15" customHeight="1" x14ac:dyDescent="0.2">
      <c r="A17" s="127" t="s">
        <v>324</v>
      </c>
      <c r="B17" s="175" t="s">
        <v>283</v>
      </c>
      <c r="C17" s="128"/>
      <c r="D17" s="127" t="str">
        <f>IF(H17&lt;0,"","Meal "&amp;2+CEILING(H17/4,1)&amp;" / Broth "&amp;1+ROUND(H17/2,0)&amp;" FT")</f>
        <v/>
      </c>
      <c r="F17" s="380"/>
      <c r="G17" s="380"/>
      <c r="H17" s="38">
        <f>IFERROR(B17+G17,-1+G17)</f>
        <v>-1</v>
      </c>
      <c r="I17" s="38">
        <v>7</v>
      </c>
      <c r="J17" s="38">
        <v>56</v>
      </c>
      <c r="K17" s="630">
        <v>1</v>
      </c>
      <c r="M17" s="38">
        <v>800</v>
      </c>
      <c r="N17" s="38">
        <v>350</v>
      </c>
      <c r="O17" s="38">
        <v>1200</v>
      </c>
      <c r="P17" s="38">
        <v>2650</v>
      </c>
      <c r="Q17" s="38">
        <v>4350</v>
      </c>
      <c r="R17" s="38">
        <v>6500</v>
      </c>
      <c r="S17" s="38">
        <v>8650</v>
      </c>
      <c r="T17" s="38">
        <v>11100</v>
      </c>
      <c r="U17" s="38">
        <v>12750</v>
      </c>
      <c r="V17" s="38">
        <v>14500</v>
      </c>
      <c r="W17" s="38">
        <v>17000</v>
      </c>
    </row>
    <row r="19" spans="1:23" ht="15" customHeight="1" x14ac:dyDescent="0.2">
      <c r="A19" s="127" t="s">
        <v>599</v>
      </c>
      <c r="B19" s="175" t="s">
        <v>283</v>
      </c>
      <c r="C19" s="128"/>
      <c r="D19" s="176"/>
      <c r="F19" s="380"/>
      <c r="G19" s="380"/>
      <c r="H19" s="38">
        <f>IFERROR(B19+G19,-1+G19)</f>
        <v>-1</v>
      </c>
      <c r="I19" s="38">
        <v>7</v>
      </c>
      <c r="J19" s="38">
        <v>56</v>
      </c>
      <c r="K19" s="630">
        <f>IF(MAX(Ranking!$C$11,Stats!$C$2)&lt;15,1.1,IF(MAX(Ranking!$C$11,Stats!$C$2)&gt;22,0.9,1))</f>
        <v>1</v>
      </c>
      <c r="M19" s="38">
        <v>600</v>
      </c>
      <c r="N19" s="38">
        <v>250</v>
      </c>
      <c r="O19" s="38">
        <v>650</v>
      </c>
      <c r="P19" s="38">
        <v>1500</v>
      </c>
      <c r="Q19" s="38">
        <v>2600</v>
      </c>
      <c r="R19" s="38">
        <v>3900</v>
      </c>
      <c r="S19" s="38">
        <v>5300</v>
      </c>
      <c r="T19" s="38">
        <v>7000</v>
      </c>
      <c r="U19" s="38">
        <v>8850</v>
      </c>
      <c r="V19" s="38">
        <v>10900</v>
      </c>
      <c r="W19" s="38">
        <v>13000</v>
      </c>
    </row>
    <row r="21" spans="1:23" ht="15" customHeight="1" x14ac:dyDescent="0.2">
      <c r="A21" s="127" t="s">
        <v>600</v>
      </c>
      <c r="B21" s="175" t="s">
        <v>283</v>
      </c>
      <c r="C21" s="128"/>
      <c r="D21" s="176"/>
      <c r="F21" s="380"/>
      <c r="G21" s="380"/>
      <c r="H21" s="38">
        <f>IFERROR(B21+G21,-1+G21)</f>
        <v>-1</v>
      </c>
      <c r="I21" s="38">
        <v>7</v>
      </c>
      <c r="J21" s="38">
        <v>56</v>
      </c>
      <c r="K21" s="630">
        <v>1</v>
      </c>
      <c r="M21" s="38">
        <v>300</v>
      </c>
      <c r="N21" s="38">
        <v>125</v>
      </c>
      <c r="O21" s="38">
        <v>300</v>
      </c>
      <c r="P21" s="38">
        <v>850</v>
      </c>
      <c r="Q21" s="38">
        <v>1400</v>
      </c>
      <c r="R21" s="38">
        <v>2200</v>
      </c>
      <c r="S21" s="38">
        <v>3400</v>
      </c>
      <c r="T21" s="38">
        <v>4200</v>
      </c>
      <c r="U21" s="38">
        <v>5300</v>
      </c>
      <c r="V21" s="38">
        <v>6800</v>
      </c>
      <c r="W21" s="38">
        <v>9500</v>
      </c>
    </row>
    <row r="22" spans="1:23" ht="15" customHeight="1" x14ac:dyDescent="0.2">
      <c r="C22" s="367">
        <f>Stats!$I$3+(12*H$21)+Bonuses!$R$3+$F$21</f>
        <v>-7</v>
      </c>
      <c r="D22" s="366" t="s">
        <v>1220</v>
      </c>
    </row>
    <row r="23" spans="1:23" ht="15" customHeight="1" x14ac:dyDescent="0.2">
      <c r="C23" s="367">
        <f>Stats!$I$3+(9*H$21)+Bonuses!$R$3+$F$21</f>
        <v>-4</v>
      </c>
      <c r="D23" s="366" t="s">
        <v>1221</v>
      </c>
    </row>
    <row r="24" spans="1:23" ht="15" customHeight="1" x14ac:dyDescent="0.2">
      <c r="C24" s="367">
        <f>Stats!$I$3+(6*H$21)+Bonuses!$R$3+$F$21</f>
        <v>-1</v>
      </c>
      <c r="D24" s="366" t="s">
        <v>1222</v>
      </c>
    </row>
    <row r="25" spans="1:23" ht="15" customHeight="1" x14ac:dyDescent="0.2">
      <c r="C25" s="367">
        <f>250+(50*H21*H21)</f>
        <v>300</v>
      </c>
      <c r="D25" s="366" t="str">
        <f>"Monthly Trade Limit, Profit: "&amp;MAX(C25*0.05*H21,C25*0.035*H21,C25*0.015*H21,0)&amp;" (sp)"</f>
        <v>Monthly Trade Limit, Profit: 0 (sp)</v>
      </c>
    </row>
    <row r="27" spans="1:23" ht="15" customHeight="1" x14ac:dyDescent="0.2">
      <c r="A27" s="127" t="s">
        <v>317</v>
      </c>
      <c r="B27" s="175" t="s">
        <v>283</v>
      </c>
      <c r="C27" s="128" t="str">
        <f>IF($H$27&lt;0,"","IV+"&amp;H27*2)</f>
        <v/>
      </c>
      <c r="D27" s="176" t="s">
        <v>276</v>
      </c>
      <c r="F27" s="380"/>
      <c r="G27" s="380"/>
      <c r="H27" s="38">
        <f>IFERROR(B27+G27,-1+G27)</f>
        <v>-1</v>
      </c>
      <c r="I27" s="38">
        <v>7</v>
      </c>
      <c r="J27" s="38">
        <v>56</v>
      </c>
      <c r="K27" s="630">
        <v>1</v>
      </c>
      <c r="M27" s="38">
        <v>300</v>
      </c>
      <c r="N27" s="38">
        <v>125</v>
      </c>
      <c r="O27" s="38">
        <v>350</v>
      </c>
      <c r="P27" s="38">
        <v>950</v>
      </c>
      <c r="Q27" s="38">
        <v>1500</v>
      </c>
      <c r="R27" s="38">
        <v>2350</v>
      </c>
      <c r="S27" s="38">
        <v>3100</v>
      </c>
      <c r="T27" s="38">
        <v>4150</v>
      </c>
      <c r="U27" s="38">
        <v>5400</v>
      </c>
      <c r="V27" s="38">
        <v>6750</v>
      </c>
      <c r="W27" s="38">
        <v>10000</v>
      </c>
    </row>
    <row r="28" spans="1:23" ht="15" customHeight="1" x14ac:dyDescent="0.2">
      <c r="C28" s="46" t="str">
        <f>IF($H$27&lt;0,"",Stats!$I$3+7*$H$27+Bonuses!$R$3+$F$27)</f>
        <v/>
      </c>
      <c r="D28" s="366" t="str">
        <f>IF($H$27&lt;0,"","Perceive Tactics")</f>
        <v/>
      </c>
    </row>
    <row r="29" spans="1:23" ht="15" customHeight="1" x14ac:dyDescent="0.2">
      <c r="C29" s="46" t="str">
        <f>IF($H$27&lt;0,"",2*Stats!$F$3+10*$H$27+Bonuses!$R$3+$F$27&amp;" -#")</f>
        <v/>
      </c>
      <c r="D29" s="366" t="str">
        <f>IF($H$27&lt;0,"","Rally within "&amp;30+IF(ISERROR($H$27*1),0,5*$H$27)&amp;" Sec.")</f>
        <v/>
      </c>
    </row>
    <row r="30" spans="1:23" ht="15" customHeight="1" x14ac:dyDescent="0.2">
      <c r="C30" s="46" t="str">
        <f>IF($H$27&lt;0,"","+"&amp;TRUNC($H$27/2,0)&amp;" WP")</f>
        <v/>
      </c>
      <c r="D30" s="366" t="str">
        <f>IF($H$27&lt;0,"","Raise Morale")</f>
        <v/>
      </c>
    </row>
    <row r="31" spans="1:23" ht="15" customHeight="1" x14ac:dyDescent="0.2">
      <c r="C31" s="47" t="str">
        <f>IF($H$27&lt;0,"",20+10*$H$27)</f>
        <v/>
      </c>
      <c r="D31" s="366" t="str">
        <f>IF($H$27&lt;0,"","seconds of Mil Sci Timeout")</f>
        <v/>
      </c>
    </row>
    <row r="32" spans="1:23" ht="15" customHeight="1" x14ac:dyDescent="0.2">
      <c r="C32" s="47" t="str">
        <f>IF($H$27&lt;0,"",ROUND((Stats!$F$3+$H$27*2)*IF(ISERROR(SEARCH("Battlefield",$D$27)),0.5,1),0))</f>
        <v/>
      </c>
      <c r="D32" s="366" t="str">
        <f>IF($H$27&lt;0,"","Subordinates")</f>
        <v/>
      </c>
    </row>
    <row r="33" spans="1:23" ht="15" customHeight="1" x14ac:dyDescent="0.2">
      <c r="A33" s="127" t="s">
        <v>601</v>
      </c>
      <c r="B33" s="175" t="s">
        <v>283</v>
      </c>
      <c r="C33" s="128"/>
      <c r="D33" s="127"/>
      <c r="F33" s="380"/>
      <c r="G33" s="380"/>
      <c r="H33" s="38">
        <f>IFERROR(B33+G33,-1+G33)</f>
        <v>-1</v>
      </c>
      <c r="I33" s="38">
        <v>7</v>
      </c>
      <c r="J33" s="38">
        <v>56</v>
      </c>
      <c r="K33" s="630">
        <v>1</v>
      </c>
      <c r="M33" s="38">
        <v>400</v>
      </c>
      <c r="N33" s="38">
        <v>150</v>
      </c>
      <c r="O33" s="38">
        <v>400</v>
      </c>
      <c r="P33" s="38">
        <v>900</v>
      </c>
      <c r="Q33" s="38">
        <v>1550</v>
      </c>
      <c r="R33" s="38">
        <v>2400</v>
      </c>
      <c r="S33" s="38">
        <v>3350</v>
      </c>
      <c r="T33" s="38">
        <v>4450</v>
      </c>
      <c r="U33" s="38">
        <v>5750</v>
      </c>
      <c r="V33" s="38">
        <v>7100</v>
      </c>
      <c r="W33" s="38">
        <v>10500</v>
      </c>
    </row>
    <row r="35" spans="1:23" ht="15" customHeight="1" x14ac:dyDescent="0.2">
      <c r="A35" s="127" t="s">
        <v>318</v>
      </c>
      <c r="B35" s="175" t="s">
        <v>283</v>
      </c>
      <c r="C35" s="128"/>
      <c r="D35" s="176" t="s">
        <v>592</v>
      </c>
      <c r="F35" s="380"/>
      <c r="G35" s="380"/>
      <c r="H35" s="38">
        <f>IFERROR(B35+G35,-1+G35)</f>
        <v>-1</v>
      </c>
      <c r="I35" s="38">
        <v>7</v>
      </c>
      <c r="J35" s="38">
        <v>56</v>
      </c>
      <c r="K35" s="630">
        <v>1</v>
      </c>
      <c r="M35" s="38">
        <v>1400</v>
      </c>
      <c r="N35" s="38">
        <v>700</v>
      </c>
      <c r="O35" s="38">
        <v>1400</v>
      </c>
      <c r="P35" s="38">
        <v>2100</v>
      </c>
      <c r="Q35" s="38">
        <v>2800</v>
      </c>
      <c r="R35" s="38">
        <v>3500</v>
      </c>
      <c r="S35" s="38">
        <v>4200</v>
      </c>
      <c r="T35" s="38">
        <v>4900</v>
      </c>
      <c r="U35" s="38">
        <v>5600</v>
      </c>
      <c r="V35" s="38">
        <v>6300</v>
      </c>
      <c r="W35" s="38">
        <v>7000</v>
      </c>
    </row>
    <row r="37" spans="1:23" ht="15" customHeight="1" x14ac:dyDescent="0.2">
      <c r="A37" s="127" t="s">
        <v>159</v>
      </c>
      <c r="B37" s="175" t="s">
        <v>283</v>
      </c>
      <c r="C37" s="128"/>
      <c r="D37" s="176" t="s">
        <v>589</v>
      </c>
      <c r="F37" s="380"/>
      <c r="G37" s="380"/>
      <c r="H37" s="38">
        <f>IFERROR(B37+G37,-1+G37)</f>
        <v>-1</v>
      </c>
      <c r="I37" s="38">
        <v>7</v>
      </c>
      <c r="J37" s="38">
        <v>56</v>
      </c>
      <c r="K37" s="630">
        <f>(1-VLOOKUP(Setup!$B$3,Setup!$A$30:$Y$37,22,FALSE))</f>
        <v>1</v>
      </c>
      <c r="M37" s="38">
        <v>600</v>
      </c>
      <c r="N37" s="38">
        <v>250</v>
      </c>
      <c r="O37" s="38">
        <v>800</v>
      </c>
      <c r="P37" s="38">
        <v>1650</v>
      </c>
      <c r="Q37" s="38">
        <v>2750</v>
      </c>
      <c r="R37" s="38">
        <v>4100</v>
      </c>
      <c r="S37" s="38">
        <v>5650</v>
      </c>
      <c r="T37" s="38">
        <v>7350</v>
      </c>
      <c r="U37" s="38">
        <v>9300</v>
      </c>
      <c r="V37" s="38">
        <v>11400</v>
      </c>
      <c r="W37" s="38">
        <v>13250</v>
      </c>
    </row>
    <row r="38" spans="1:23" ht="15" customHeight="1" x14ac:dyDescent="0.2">
      <c r="C38" s="46" t="str">
        <f>IF($H$37&lt;0,"",Stats!$I$3+$H$37*5+Bonuses!$R$3+$F$37)</f>
        <v/>
      </c>
      <c r="D38" s="366" t="str">
        <f>IF($H$37&lt;0,"","Tracking (+2/Entity -4/Rk of Concealment)")</f>
        <v/>
      </c>
    </row>
    <row r="39" spans="1:23" ht="15" customHeight="1" x14ac:dyDescent="0.2">
      <c r="C39" s="46" t="str">
        <f>IF($H$37&lt;0,"",Stats!$I$3*3+$H$37*5+Bonuses!$R$3+$F$37+Bonuses!$BM$3)</f>
        <v/>
      </c>
      <c r="D39" s="366" t="str">
        <f>IF($H$37&lt;0,"","Detect Ambush  -5/Rank of Opposition")</f>
        <v/>
      </c>
    </row>
    <row r="40" spans="1:23" ht="15" customHeight="1" x14ac:dyDescent="0.2">
      <c r="C40" s="46" t="str">
        <f>IF($H$37&lt;0,"",2*Stats!$I$3+$H$37*5+Bonuses!$R$3+$F$37)</f>
        <v/>
      </c>
      <c r="D40" s="366" t="str">
        <f>IF($H$37&lt;0,"","Find Plant/Animal  -25-75 Rarity")</f>
        <v/>
      </c>
    </row>
    <row r="41" spans="1:23" ht="15" customHeight="1" x14ac:dyDescent="0.2">
      <c r="C41" s="46" t="str">
        <f>IF($H$37&lt;0,"",Stats!$I$3*2+$H$37*5+Bonuses!$R$3+$F$37)</f>
        <v/>
      </c>
      <c r="D41" s="366" t="str">
        <f>IF($H$37&lt;0,"","Find Route")</f>
        <v/>
      </c>
    </row>
    <row r="42" spans="1:23" ht="15" customHeight="1" x14ac:dyDescent="0.2">
      <c r="C42" s="46" t="str">
        <f>IF($H$37&lt;0,"",Stats!$I$3+$H$37*10+Bonuses!$R$3+$F$37)</f>
        <v/>
      </c>
      <c r="D42" s="366" t="str">
        <f>IF($H$37&lt;0,"","Recog. Plant/Animl")</f>
        <v/>
      </c>
    </row>
    <row r="43" spans="1:23" ht="15" customHeight="1" x14ac:dyDescent="0.2">
      <c r="A43" s="127" t="s">
        <v>162</v>
      </c>
      <c r="B43" s="175" t="s">
        <v>283</v>
      </c>
      <c r="C43" s="128"/>
      <c r="D43" s="176" t="s">
        <v>588</v>
      </c>
      <c r="F43" s="380"/>
      <c r="G43" s="380"/>
      <c r="H43" s="38">
        <f>IFERROR(B43+G43,-1+G43)</f>
        <v>-1</v>
      </c>
      <c r="I43" s="38">
        <v>7</v>
      </c>
      <c r="J43" s="38">
        <v>56</v>
      </c>
      <c r="K43" s="630">
        <v>1</v>
      </c>
      <c r="M43" s="38">
        <v>500</v>
      </c>
      <c r="N43" s="38">
        <v>200</v>
      </c>
      <c r="O43" s="38">
        <v>600</v>
      </c>
      <c r="P43" s="38">
        <v>1400</v>
      </c>
      <c r="Q43" s="38">
        <v>2400</v>
      </c>
      <c r="R43" s="38">
        <v>3600</v>
      </c>
      <c r="S43" s="38">
        <v>5000</v>
      </c>
      <c r="T43" s="38">
        <v>6600</v>
      </c>
      <c r="U43" s="38">
        <v>8400</v>
      </c>
      <c r="V43" s="38">
        <v>10400</v>
      </c>
      <c r="W43" s="38">
        <v>12600</v>
      </c>
    </row>
    <row r="44" spans="1:23" ht="15" customHeight="1" x14ac:dyDescent="0.2">
      <c r="C44" s="46" t="str">
        <f>IF($H$43&lt;0,"",(2*Stats!$I$3)+(12*$H$43)+Bonuses!$R$3+$F$43)</f>
        <v/>
      </c>
      <c r="D44" s="366" t="str">
        <f>IF($H$43&lt;0,"","Memorise "&amp;120-($H$43*10)&amp;"s. "&amp;1+$H$43&amp;"days")</f>
        <v/>
      </c>
    </row>
    <row r="45" spans="1:23" ht="15" customHeight="1" x14ac:dyDescent="0.2">
      <c r="C45" s="46" t="str">
        <f>IF(OR($H$43&lt;0,ISERROR(SEARCH("Shadowing",$D$43))),"",Stats!$I$3+Stats!$D$3+$H$43*5+Bonuses!$R$3+$F$43)</f>
        <v/>
      </c>
      <c r="D45" s="366" t="str">
        <f>IF(OR($H$43&lt;0,ISERROR(SEARCH("Shadowing",$D$43))),"","Shadowing")</f>
        <v/>
      </c>
    </row>
    <row r="46" spans="1:23" ht="15" customHeight="1" x14ac:dyDescent="0.2">
      <c r="C46" s="46" t="str">
        <f>IF(OR($H$43&lt;0,ISERROR(SEARCH("Imitation",$D$43))),"",6-$H$43/2&amp;" Hrs")</f>
        <v/>
      </c>
      <c r="D46" s="366" t="str">
        <f>IF(OR($H$43&lt;0,ISERROR(SEARCH("Imitation",$D$43))),"","Imitation")</f>
        <v/>
      </c>
    </row>
    <row r="47" spans="1:23" ht="15" customHeight="1" x14ac:dyDescent="0.2">
      <c r="A47" s="127" t="s">
        <v>161</v>
      </c>
      <c r="B47" s="175" t="s">
        <v>283</v>
      </c>
      <c r="C47" s="128"/>
      <c r="D47" s="262"/>
      <c r="F47" s="380"/>
      <c r="G47" s="380"/>
      <c r="H47" s="38">
        <f>IFERROR(B47+G47,-1+G47)</f>
        <v>-1</v>
      </c>
      <c r="I47" s="38">
        <v>7</v>
      </c>
      <c r="J47" s="38">
        <v>56</v>
      </c>
      <c r="K47" s="630">
        <f>(1-VLOOKUP(Setup!$B$3,Setup!$A$30:$Y$37,23,FALSE))</f>
        <v>1</v>
      </c>
      <c r="M47" s="38">
        <v>750</v>
      </c>
      <c r="N47" s="38">
        <v>300</v>
      </c>
      <c r="O47" s="38">
        <v>1050</v>
      </c>
      <c r="P47" s="38">
        <v>2350</v>
      </c>
      <c r="Q47" s="38">
        <v>4000</v>
      </c>
      <c r="R47" s="38">
        <v>5750</v>
      </c>
      <c r="S47" s="38">
        <v>7900</v>
      </c>
      <c r="T47" s="38">
        <v>10250</v>
      </c>
      <c r="U47" s="38">
        <v>12900</v>
      </c>
      <c r="V47" s="38">
        <v>14850</v>
      </c>
      <c r="W47" s="38">
        <v>16000</v>
      </c>
    </row>
    <row r="48" spans="1:23" ht="15" customHeight="1" x14ac:dyDescent="0.2">
      <c r="A48" s="249"/>
      <c r="C48" s="46" t="str">
        <f>IF($H$47&lt;0,"",4*Stats!$C$3+$H$47*10+Bonuses!$R$3+$F$47)</f>
        <v/>
      </c>
      <c r="D48" s="366" t="str">
        <f>IF($H$47&lt;0,"","Climbing: Climb Natural/Hard -1% per 10 feet")</f>
        <v/>
      </c>
    </row>
    <row r="49" spans="1:23" ht="15" customHeight="1" x14ac:dyDescent="0.2">
      <c r="A49" s="249"/>
      <c r="C49" s="46" t="str">
        <f>IF($H$47&lt;0,"",2*Stats!$I$3+$H$47*5+Bonuses!$R$3+$F$47)</f>
        <v/>
      </c>
      <c r="D49" s="366" t="str">
        <f>IF($H$47&lt;0,"","Detect Secret Door within "&amp;$H$47+5&amp;" feet.")</f>
        <v/>
      </c>
    </row>
    <row r="50" spans="1:23" ht="15" customHeight="1" x14ac:dyDescent="0.2">
      <c r="A50" s="249"/>
      <c r="C50" s="46" t="str">
        <f>IF($H$47&lt;0,"",Stats!$I$3+$H$47*11+Bonuses!$R$3+$F$47+Bonuses!$BN$3)</f>
        <v/>
      </c>
      <c r="D50" s="366" t="str">
        <f>IF($H$47&lt;0,"","Detect Traps: 10 Sec to Search.")</f>
        <v/>
      </c>
    </row>
    <row r="51" spans="1:23" ht="15" customHeight="1" x14ac:dyDescent="0.2">
      <c r="A51" s="249"/>
      <c r="C51" s="46" t="str">
        <f>IF($H$47&lt;0,"",2*Stats!$C$3+$H$47*11+Bonuses!$R$3+$F$47)</f>
        <v/>
      </c>
      <c r="D51" s="366" t="str">
        <f>IF($H$47&lt;0,"","Remove Traps: "&amp;12-$H$47&amp;" Mins to Remove -5%/rk of trap")</f>
        <v/>
      </c>
    </row>
    <row r="52" spans="1:23" ht="15" customHeight="1" x14ac:dyDescent="0.2">
      <c r="A52" s="249"/>
      <c r="C52" s="46" t="str">
        <f>IF($H$47&lt;0,"",2*Stats!$C$3+$H$47*6+Bonuses!$R$3+$F$47)</f>
        <v/>
      </c>
      <c r="D52" s="366" t="str">
        <f>IF($H$47&lt;0,"","Pick Locks: "&amp;120-($H$47*10)&amp;" Secs. -6%/rk of lock")</f>
        <v/>
      </c>
    </row>
    <row r="53" spans="1:23" ht="15" customHeight="1" x14ac:dyDescent="0.2">
      <c r="A53" s="249"/>
      <c r="C53" s="46" t="str">
        <f>IF($H$47&lt;0,"",2*Stats!$C$3+$H$47*5+Bonuses!$R$3+$F$47)</f>
        <v/>
      </c>
      <c r="D53" s="366" t="str">
        <f>IF($H$47&lt;0,"","Open Safe: "&amp;15-$H$47&amp;" Mins. -7%/rk of safe")</f>
        <v/>
      </c>
    </row>
    <row r="54" spans="1:23" ht="15" customHeight="1" x14ac:dyDescent="0.2">
      <c r="A54" s="249"/>
      <c r="C54" s="46" t="str">
        <f>IF($H$47&lt;0,"",Stats!$I$3+$H$47*10+Bonuses!$R$3+$F$47)</f>
        <v/>
      </c>
      <c r="D54" s="366" t="str">
        <f>IF($H$47&lt;0,"","Photographic Memory within "&amp;1+$H$47&amp;" days. Observed "&amp;240-($H$47*20)&amp;" secs.")</f>
        <v/>
      </c>
    </row>
    <row r="55" spans="1:23" ht="15" customHeight="1" x14ac:dyDescent="0.2">
      <c r="A55" s="249"/>
      <c r="C55" s="46" t="str">
        <f>IF($H$47&lt;0,"",3*Stats!$C$3+$H$47*6+Bonuses!$R$3+$F$47)</f>
        <v/>
      </c>
      <c r="D55" s="366" t="str">
        <f>IF($H$47&lt;0,"","Pick Pockets +/- modifiers")</f>
        <v/>
      </c>
    </row>
    <row r="56" spans="1:23" ht="15" customHeight="1" x14ac:dyDescent="0.2">
      <c r="A56" s="127" t="s">
        <v>1916</v>
      </c>
      <c r="B56" s="175" t="s">
        <v>283</v>
      </c>
      <c r="C56" s="128"/>
      <c r="D56" s="176" t="s">
        <v>588</v>
      </c>
      <c r="F56" s="380"/>
      <c r="G56" s="380"/>
      <c r="H56" s="38">
        <f>IFERROR(B56+G56,-1+G56)</f>
        <v>-1</v>
      </c>
      <c r="I56" s="38">
        <v>7</v>
      </c>
      <c r="J56" s="38">
        <v>56</v>
      </c>
      <c r="K56" s="630">
        <v>1</v>
      </c>
      <c r="M56" s="38">
        <v>250</v>
      </c>
      <c r="N56" s="38">
        <v>100</v>
      </c>
      <c r="O56" s="38">
        <v>200</v>
      </c>
      <c r="P56" s="38">
        <v>500</v>
      </c>
      <c r="Q56" s="38">
        <v>1050</v>
      </c>
      <c r="R56" s="38">
        <v>1450</v>
      </c>
      <c r="S56" s="38">
        <v>2100</v>
      </c>
      <c r="T56" s="38">
        <v>2800</v>
      </c>
      <c r="U56" s="38">
        <v>3900</v>
      </c>
      <c r="V56" s="38">
        <v>4600</v>
      </c>
      <c r="W56" s="38">
        <v>7000</v>
      </c>
    </row>
    <row r="57" spans="1:23" ht="15" customHeight="1" x14ac:dyDescent="0.2">
      <c r="A57" s="249"/>
    </row>
    <row r="58" spans="1:23" ht="15" customHeight="1" x14ac:dyDescent="0.2">
      <c r="A58" s="127" t="s">
        <v>158</v>
      </c>
      <c r="B58" s="175" t="s">
        <v>283</v>
      </c>
      <c r="C58" s="128"/>
      <c r="D58" s="127" t="str">
        <f>IF($H$58&lt;0,"","+"&amp;$H$58&amp;" IV. +"&amp;2+2*$H$58&amp;"% Def &amp; SC. +"&amp;FLOOR($H$58/5,1)&amp;" dmg. +"&amp;FLOOR($H$58/4,1)&amp;" parry.")</f>
        <v/>
      </c>
      <c r="F58" s="380"/>
      <c r="G58" s="380"/>
      <c r="H58" s="38">
        <f>IFERROR(B58+G58,-1+G58)</f>
        <v>-1</v>
      </c>
      <c r="I58" s="38">
        <v>7</v>
      </c>
      <c r="J58" s="38">
        <v>56</v>
      </c>
      <c r="K58" s="630">
        <f>(1-VLOOKUP(Setup!$B$3,Setup!$A$30:$Y$37,25,FALSE))</f>
        <v>1</v>
      </c>
      <c r="M58" s="38">
        <v>600</v>
      </c>
      <c r="N58" s="38">
        <v>250</v>
      </c>
      <c r="O58" s="38">
        <v>750</v>
      </c>
      <c r="P58" s="38">
        <v>1700</v>
      </c>
      <c r="Q58" s="38">
        <v>2900</v>
      </c>
      <c r="R58" s="38">
        <v>4200</v>
      </c>
      <c r="S58" s="38">
        <v>5750</v>
      </c>
      <c r="T58" s="38">
        <v>7550</v>
      </c>
      <c r="U58" s="38">
        <v>9500</v>
      </c>
      <c r="V58" s="38">
        <v>11700</v>
      </c>
      <c r="W58" s="38">
        <v>14100</v>
      </c>
    </row>
    <row r="59" spans="1:23" ht="15" customHeight="1" x14ac:dyDescent="0.2">
      <c r="A59" s="602" t="s">
        <v>1552</v>
      </c>
      <c r="B59" s="175">
        <v>0</v>
      </c>
      <c r="D59" s="38" t="str">
        <f>_xlfn.TEXTJOIN(", ",TRUE,Warrior!D17:D36)</f>
        <v/>
      </c>
    </row>
    <row r="61" spans="1:23" ht="15" customHeight="1" x14ac:dyDescent="0.2">
      <c r="A61" s="127" t="s">
        <v>602</v>
      </c>
      <c r="B61" s="175" t="s">
        <v>283</v>
      </c>
      <c r="C61" s="128"/>
      <c r="D61" s="176" t="s">
        <v>595</v>
      </c>
      <c r="F61" s="380"/>
      <c r="G61" s="380"/>
      <c r="H61" s="38">
        <f>IFERROR(B61+G61,-1+G61)</f>
        <v>-1</v>
      </c>
      <c r="I61" s="38">
        <v>7</v>
      </c>
      <c r="J61" s="38">
        <v>56</v>
      </c>
      <c r="K61" s="630">
        <f>(1+MAX((16-MAX(Ranking!$C$11,Stats!$C$2))*0.05,0)+MIN((20-MAX(Ranking!$C$11,Stats!$C$2))*0.05,0))*IF(IFERROR(1*$B$4,-1)&gt;IFERROR(1*$B$61,-1),0.75,1)</f>
        <v>1.05</v>
      </c>
      <c r="M61" s="38">
        <v>600</v>
      </c>
      <c r="N61" s="38">
        <v>300</v>
      </c>
      <c r="O61" s="38">
        <v>800</v>
      </c>
      <c r="P61" s="38">
        <v>1600</v>
      </c>
      <c r="Q61" s="38">
        <v>3000</v>
      </c>
      <c r="R61" s="38">
        <v>5500</v>
      </c>
      <c r="S61" s="38">
        <v>6200</v>
      </c>
      <c r="T61" s="38">
        <v>7300</v>
      </c>
      <c r="U61" s="38">
        <v>8800</v>
      </c>
      <c r="V61" s="38">
        <v>10800</v>
      </c>
      <c r="W61" s="38">
        <v>14000</v>
      </c>
    </row>
    <row r="63" spans="1:23" ht="15" customHeight="1" x14ac:dyDescent="0.2">
      <c r="A63" s="176" t="s">
        <v>325</v>
      </c>
      <c r="B63" s="175" t="s">
        <v>283</v>
      </c>
      <c r="C63" s="48"/>
      <c r="D63" s="49"/>
      <c r="F63" s="380"/>
      <c r="G63" s="380"/>
      <c r="H63" s="38">
        <f t="shared" ref="H63:H71" si="0">IFERROR(B63+G63,-1+G63)</f>
        <v>-1</v>
      </c>
      <c r="I63" s="38">
        <v>7</v>
      </c>
      <c r="J63" s="38">
        <v>56</v>
      </c>
      <c r="K63" s="630">
        <v>1</v>
      </c>
      <c r="M63" s="38">
        <v>250</v>
      </c>
      <c r="N63" s="38">
        <v>100</v>
      </c>
      <c r="O63" s="38">
        <v>150</v>
      </c>
      <c r="P63" s="38">
        <v>350</v>
      </c>
      <c r="Q63" s="38">
        <v>700</v>
      </c>
      <c r="R63" s="38">
        <v>950</v>
      </c>
      <c r="S63" s="38">
        <v>1500</v>
      </c>
      <c r="T63" s="38">
        <v>1850</v>
      </c>
      <c r="U63" s="38">
        <v>2500</v>
      </c>
      <c r="V63" s="38">
        <v>3200</v>
      </c>
      <c r="W63" s="38">
        <v>4000</v>
      </c>
    </row>
    <row r="64" spans="1:23" ht="15" customHeight="1" x14ac:dyDescent="0.2">
      <c r="A64" s="177" t="s">
        <v>603</v>
      </c>
      <c r="B64" s="178" t="s">
        <v>283</v>
      </c>
      <c r="C64" s="138"/>
      <c r="D64" s="248"/>
      <c r="F64" s="380"/>
      <c r="G64" s="380"/>
      <c r="H64" s="38">
        <f t="shared" si="0"/>
        <v>-1</v>
      </c>
      <c r="I64" s="38">
        <v>7</v>
      </c>
      <c r="J64" s="38">
        <v>56</v>
      </c>
      <c r="K64" s="630">
        <v>1</v>
      </c>
      <c r="M64" s="38">
        <v>250</v>
      </c>
      <c r="N64" s="38">
        <v>100</v>
      </c>
      <c r="O64" s="38">
        <v>150</v>
      </c>
      <c r="P64" s="38">
        <v>350</v>
      </c>
      <c r="Q64" s="38">
        <v>700</v>
      </c>
      <c r="R64" s="38">
        <v>950</v>
      </c>
      <c r="S64" s="38">
        <v>1500</v>
      </c>
      <c r="T64" s="38">
        <v>1850</v>
      </c>
      <c r="U64" s="38">
        <v>2500</v>
      </c>
      <c r="V64" s="38">
        <v>3200</v>
      </c>
      <c r="W64" s="38">
        <v>4000</v>
      </c>
    </row>
    <row r="65" spans="1:23" ht="15" customHeight="1" x14ac:dyDescent="0.2">
      <c r="A65" s="176" t="s">
        <v>604</v>
      </c>
      <c r="B65" s="175" t="s">
        <v>283</v>
      </c>
      <c r="C65" s="48"/>
      <c r="D65" s="49"/>
      <c r="F65" s="380"/>
      <c r="G65" s="380"/>
      <c r="H65" s="38">
        <f t="shared" si="0"/>
        <v>-1</v>
      </c>
      <c r="I65" s="38">
        <v>7</v>
      </c>
      <c r="J65" s="38">
        <v>56</v>
      </c>
      <c r="K65" s="630">
        <v>1</v>
      </c>
      <c r="M65" s="38">
        <v>250</v>
      </c>
      <c r="N65" s="38">
        <v>100</v>
      </c>
      <c r="O65" s="38">
        <v>150</v>
      </c>
      <c r="P65" s="38">
        <v>350</v>
      </c>
      <c r="Q65" s="38">
        <v>700</v>
      </c>
      <c r="R65" s="38">
        <v>950</v>
      </c>
      <c r="S65" s="38">
        <v>1500</v>
      </c>
      <c r="T65" s="38">
        <v>1850</v>
      </c>
      <c r="U65" s="38">
        <v>2500</v>
      </c>
      <c r="V65" s="38">
        <v>3200</v>
      </c>
      <c r="W65" s="38">
        <v>4000</v>
      </c>
    </row>
    <row r="66" spans="1:23" ht="15" customHeight="1" x14ac:dyDescent="0.2">
      <c r="A66" s="177" t="s">
        <v>605</v>
      </c>
      <c r="B66" s="178" t="s">
        <v>283</v>
      </c>
      <c r="C66" s="138"/>
      <c r="D66" s="248"/>
      <c r="F66" s="380"/>
      <c r="G66" s="380"/>
      <c r="H66" s="38">
        <f t="shared" si="0"/>
        <v>-1</v>
      </c>
      <c r="I66" s="38">
        <v>7</v>
      </c>
      <c r="J66" s="38">
        <v>56</v>
      </c>
      <c r="K66" s="630">
        <v>1</v>
      </c>
      <c r="M66" s="38">
        <v>250</v>
      </c>
      <c r="N66" s="38">
        <v>100</v>
      </c>
      <c r="O66" s="38">
        <v>150</v>
      </c>
      <c r="P66" s="38">
        <v>350</v>
      </c>
      <c r="Q66" s="38">
        <v>700</v>
      </c>
      <c r="R66" s="38">
        <v>950</v>
      </c>
      <c r="S66" s="38">
        <v>1500</v>
      </c>
      <c r="T66" s="38">
        <v>1850</v>
      </c>
      <c r="U66" s="38">
        <v>2500</v>
      </c>
      <c r="V66" s="38">
        <v>3200</v>
      </c>
      <c r="W66" s="38">
        <v>4000</v>
      </c>
    </row>
    <row r="67" spans="1:23" ht="15" customHeight="1" x14ac:dyDescent="0.2">
      <c r="A67" s="176" t="s">
        <v>605</v>
      </c>
      <c r="B67" s="175" t="s">
        <v>283</v>
      </c>
      <c r="C67" s="48"/>
      <c r="D67" s="49"/>
      <c r="F67" s="380"/>
      <c r="G67" s="380"/>
      <c r="H67" s="38">
        <f t="shared" si="0"/>
        <v>-1</v>
      </c>
      <c r="I67" s="38">
        <v>7</v>
      </c>
      <c r="J67" s="38">
        <v>56</v>
      </c>
      <c r="K67" s="630">
        <v>1</v>
      </c>
      <c r="M67" s="38">
        <v>250</v>
      </c>
      <c r="N67" s="38">
        <v>100</v>
      </c>
      <c r="O67" s="38">
        <v>150</v>
      </c>
      <c r="P67" s="38">
        <v>350</v>
      </c>
      <c r="Q67" s="38">
        <v>700</v>
      </c>
      <c r="R67" s="38">
        <v>950</v>
      </c>
      <c r="S67" s="38">
        <v>1500</v>
      </c>
      <c r="T67" s="38">
        <v>1850</v>
      </c>
      <c r="U67" s="38">
        <v>2500</v>
      </c>
      <c r="V67" s="38">
        <v>3200</v>
      </c>
      <c r="W67" s="38">
        <v>4000</v>
      </c>
    </row>
    <row r="68" spans="1:23" ht="15" customHeight="1" x14ac:dyDescent="0.2">
      <c r="A68" s="177" t="s">
        <v>605</v>
      </c>
      <c r="B68" s="178" t="s">
        <v>283</v>
      </c>
      <c r="C68" s="138"/>
      <c r="D68" s="248"/>
      <c r="F68" s="380"/>
      <c r="G68" s="380"/>
      <c r="H68" s="38">
        <f t="shared" si="0"/>
        <v>-1</v>
      </c>
      <c r="I68" s="38">
        <v>7</v>
      </c>
      <c r="J68" s="38">
        <v>56</v>
      </c>
      <c r="K68" s="630">
        <v>1</v>
      </c>
      <c r="M68" s="38">
        <v>250</v>
      </c>
      <c r="N68" s="38">
        <v>100</v>
      </c>
      <c r="O68" s="38">
        <v>150</v>
      </c>
      <c r="P68" s="38">
        <v>350</v>
      </c>
      <c r="Q68" s="38">
        <v>700</v>
      </c>
      <c r="R68" s="38">
        <v>950</v>
      </c>
      <c r="S68" s="38">
        <v>1500</v>
      </c>
      <c r="T68" s="38">
        <v>1850</v>
      </c>
      <c r="U68" s="38">
        <v>2500</v>
      </c>
      <c r="V68" s="38">
        <v>3200</v>
      </c>
      <c r="W68" s="38">
        <v>4000</v>
      </c>
    </row>
    <row r="69" spans="1:23" ht="15" customHeight="1" x14ac:dyDescent="0.2">
      <c r="A69" s="176" t="s">
        <v>605</v>
      </c>
      <c r="B69" s="175" t="s">
        <v>283</v>
      </c>
      <c r="C69" s="48"/>
      <c r="D69" s="49"/>
      <c r="F69" s="380"/>
      <c r="G69" s="380"/>
      <c r="H69" s="38">
        <f t="shared" si="0"/>
        <v>-1</v>
      </c>
      <c r="I69" s="38">
        <v>7</v>
      </c>
      <c r="J69" s="38">
        <v>56</v>
      </c>
      <c r="K69" s="630">
        <v>1</v>
      </c>
      <c r="M69" s="38">
        <v>250</v>
      </c>
      <c r="N69" s="38">
        <v>100</v>
      </c>
      <c r="O69" s="38">
        <v>150</v>
      </c>
      <c r="P69" s="38">
        <v>350</v>
      </c>
      <c r="Q69" s="38">
        <v>700</v>
      </c>
      <c r="R69" s="38">
        <v>950</v>
      </c>
      <c r="S69" s="38">
        <v>1500</v>
      </c>
      <c r="T69" s="38">
        <v>1850</v>
      </c>
      <c r="U69" s="38">
        <v>2500</v>
      </c>
      <c r="V69" s="38">
        <v>3200</v>
      </c>
      <c r="W69" s="38">
        <v>4000</v>
      </c>
    </row>
    <row r="70" spans="1:23" ht="15" customHeight="1" x14ac:dyDescent="0.2">
      <c r="A70" s="177" t="s">
        <v>605</v>
      </c>
      <c r="B70" s="178" t="s">
        <v>283</v>
      </c>
      <c r="C70" s="138"/>
      <c r="D70" s="248"/>
      <c r="F70" s="380"/>
      <c r="G70" s="380"/>
      <c r="H70" s="38">
        <f t="shared" si="0"/>
        <v>-1</v>
      </c>
      <c r="I70" s="38">
        <v>7</v>
      </c>
      <c r="J70" s="38">
        <v>56</v>
      </c>
      <c r="K70" s="630">
        <v>1</v>
      </c>
      <c r="M70" s="38">
        <v>250</v>
      </c>
      <c r="N70" s="38">
        <v>100</v>
      </c>
      <c r="O70" s="38">
        <v>150</v>
      </c>
      <c r="P70" s="38">
        <v>350</v>
      </c>
      <c r="Q70" s="38">
        <v>700</v>
      </c>
      <c r="R70" s="38">
        <v>950</v>
      </c>
      <c r="S70" s="38">
        <v>1500</v>
      </c>
      <c r="T70" s="38">
        <v>1850</v>
      </c>
      <c r="U70" s="38">
        <v>2500</v>
      </c>
      <c r="V70" s="38">
        <v>3200</v>
      </c>
      <c r="W70" s="38">
        <v>4000</v>
      </c>
    </row>
    <row r="71" spans="1:23" ht="15" customHeight="1" x14ac:dyDescent="0.2">
      <c r="A71" s="176" t="s">
        <v>605</v>
      </c>
      <c r="B71" s="175" t="s">
        <v>283</v>
      </c>
      <c r="C71" s="48"/>
      <c r="D71" s="49"/>
      <c r="F71" s="380"/>
      <c r="G71" s="380"/>
      <c r="H71" s="38">
        <f t="shared" si="0"/>
        <v>-1</v>
      </c>
      <c r="I71" s="38">
        <v>7</v>
      </c>
      <c r="J71" s="38">
        <v>56</v>
      </c>
      <c r="K71" s="630">
        <v>1</v>
      </c>
      <c r="M71" s="38">
        <v>250</v>
      </c>
      <c r="N71" s="38">
        <v>100</v>
      </c>
      <c r="O71" s="38">
        <v>150</v>
      </c>
      <c r="P71" s="38">
        <v>350</v>
      </c>
      <c r="Q71" s="38">
        <v>700</v>
      </c>
      <c r="R71" s="38">
        <v>950</v>
      </c>
      <c r="S71" s="38">
        <v>1500</v>
      </c>
      <c r="T71" s="38">
        <v>1850</v>
      </c>
      <c r="U71" s="38">
        <v>2500</v>
      </c>
      <c r="V71" s="38">
        <v>3200</v>
      </c>
      <c r="W71" s="38">
        <v>4000</v>
      </c>
    </row>
    <row r="72" spans="1:23" ht="15" customHeight="1" x14ac:dyDescent="0.2">
      <c r="A72" s="176" t="s">
        <v>605</v>
      </c>
      <c r="B72" s="175" t="s">
        <v>283</v>
      </c>
      <c r="C72" s="48"/>
      <c r="D72" s="49"/>
      <c r="F72" s="380"/>
      <c r="G72" s="380"/>
      <c r="H72" s="38">
        <f t="shared" ref="H72" si="1">IFERROR(B72+G72,-1+G72)</f>
        <v>-1</v>
      </c>
      <c r="I72" s="38">
        <v>7</v>
      </c>
      <c r="J72" s="38">
        <v>56</v>
      </c>
      <c r="K72" s="630">
        <v>1</v>
      </c>
      <c r="M72" s="38">
        <v>250</v>
      </c>
      <c r="N72" s="38">
        <v>100</v>
      </c>
      <c r="O72" s="38">
        <v>150</v>
      </c>
      <c r="P72" s="38">
        <v>350</v>
      </c>
      <c r="Q72" s="38">
        <v>700</v>
      </c>
      <c r="R72" s="38">
        <v>950</v>
      </c>
      <c r="S72" s="38">
        <v>1500</v>
      </c>
      <c r="T72" s="38">
        <v>1850</v>
      </c>
      <c r="U72" s="38">
        <v>2500</v>
      </c>
      <c r="V72" s="38">
        <v>3200</v>
      </c>
      <c r="W72" s="38">
        <v>4000</v>
      </c>
    </row>
    <row r="74" spans="1:23" ht="15" customHeight="1" x14ac:dyDescent="0.2">
      <c r="A74" s="129" t="s">
        <v>270</v>
      </c>
      <c r="B74" s="130"/>
      <c r="C74" s="130"/>
      <c r="D74" s="131"/>
    </row>
    <row r="75" spans="1:23" ht="15" customHeight="1" x14ac:dyDescent="0.2">
      <c r="A75" s="37" t="s">
        <v>154</v>
      </c>
      <c r="B75" s="134">
        <v>0</v>
      </c>
      <c r="C75" s="132">
        <f>4*Stats!$C$3+8*$H$75+Bonuses!$R$3+Bonuses!$AE$3+$F$75</f>
        <v>52</v>
      </c>
      <c r="D75" s="263" t="s">
        <v>1172</v>
      </c>
      <c r="F75" s="380"/>
      <c r="G75" s="380"/>
      <c r="H75" s="38">
        <f t="shared" ref="H75:H79" si="2">IFERROR(B75+G75,-1+G75)</f>
        <v>0</v>
      </c>
      <c r="I75" s="38">
        <v>7</v>
      </c>
      <c r="J75" s="38">
        <v>0</v>
      </c>
      <c r="K75" s="630">
        <v>1</v>
      </c>
      <c r="L75" s="38">
        <v>125</v>
      </c>
      <c r="M75" s="38">
        <v>0</v>
      </c>
      <c r="N75" s="38">
        <v>125</v>
      </c>
      <c r="O75" s="38">
        <v>250</v>
      </c>
      <c r="P75" s="38">
        <v>375</v>
      </c>
      <c r="Q75" s="38">
        <v>500</v>
      </c>
      <c r="R75" s="38">
        <v>625</v>
      </c>
      <c r="S75" s="38">
        <v>750</v>
      </c>
      <c r="T75" s="38">
        <v>875</v>
      </c>
      <c r="U75" s="38">
        <v>1000</v>
      </c>
      <c r="V75" s="38">
        <v>1125</v>
      </c>
      <c r="W75" s="38">
        <v>1250</v>
      </c>
    </row>
    <row r="76" spans="1:23" ht="15" customHeight="1" x14ac:dyDescent="0.2">
      <c r="A76" s="39" t="s">
        <v>155</v>
      </c>
      <c r="B76" s="135">
        <v>0</v>
      </c>
      <c r="C76" s="133">
        <f>3*Stats!$D$3+10*$H$76+Bonuses!$R$3+Bonuses!$AF$3+$F$76</f>
        <v>33</v>
      </c>
      <c r="D76" s="41" t="str">
        <f>"Weapon use: 1H"&amp;IF($H$76&gt;2,", 2H","")&amp;IF($H$76&gt;4,", Spell, Missile","")&amp;IF($H$76&gt;6,", 2x1H","")</f>
        <v>Weapon use: 1H</v>
      </c>
      <c r="F76" s="380"/>
      <c r="G76" s="380"/>
      <c r="H76" s="38">
        <f t="shared" si="2"/>
        <v>0</v>
      </c>
      <c r="I76" s="38">
        <v>7</v>
      </c>
      <c r="J76" s="38">
        <v>0</v>
      </c>
      <c r="K76" s="630">
        <v>1</v>
      </c>
      <c r="L76" s="38">
        <v>125</v>
      </c>
      <c r="M76" s="38">
        <v>0</v>
      </c>
      <c r="N76" s="38">
        <v>125</v>
      </c>
      <c r="O76" s="38">
        <v>250</v>
      </c>
      <c r="P76" s="38">
        <v>375</v>
      </c>
      <c r="Q76" s="38">
        <v>500</v>
      </c>
      <c r="R76" s="38">
        <v>625</v>
      </c>
      <c r="S76" s="38">
        <v>750</v>
      </c>
      <c r="T76" s="38">
        <v>875</v>
      </c>
      <c r="U76" s="38">
        <v>1000</v>
      </c>
      <c r="V76" s="38">
        <v>1125</v>
      </c>
      <c r="W76" s="38">
        <v>1250</v>
      </c>
    </row>
    <row r="77" spans="1:23" ht="15" customHeight="1" x14ac:dyDescent="0.2">
      <c r="A77" s="42" t="s">
        <v>151</v>
      </c>
      <c r="B77" s="135">
        <v>0</v>
      </c>
      <c r="C77" s="133">
        <f>ROUND((Stats!$D$3+Stats!$F$3)/2,0) + (8*$H$77)+Bonuses!$R$3+Bonuses!$AG$3+$F$77</f>
        <v>13</v>
      </c>
      <c r="D77" s="44" t="str">
        <f>"Weapon use: 1H"&amp;IF($H$77&gt;2,", 2H","")&amp;IF($H$77&gt;4,", Spell, Missile","")&amp;IF($H$77&gt;6,", 2x1H","")</f>
        <v>Weapon use: 1H</v>
      </c>
      <c r="F77" s="380"/>
      <c r="G77" s="380"/>
      <c r="H77" s="38">
        <f t="shared" si="2"/>
        <v>0</v>
      </c>
      <c r="I77" s="38">
        <v>7</v>
      </c>
      <c r="J77" s="38">
        <v>0</v>
      </c>
      <c r="K77" s="630">
        <v>1</v>
      </c>
      <c r="L77" s="38">
        <v>125</v>
      </c>
      <c r="M77" s="38">
        <v>0</v>
      </c>
      <c r="N77" s="38">
        <v>125</v>
      </c>
      <c r="O77" s="38">
        <v>250</v>
      </c>
      <c r="P77" s="38">
        <v>375</v>
      </c>
      <c r="Q77" s="38">
        <v>500</v>
      </c>
      <c r="R77" s="38">
        <v>625</v>
      </c>
      <c r="S77" s="38">
        <v>750</v>
      </c>
      <c r="T77" s="38">
        <v>875</v>
      </c>
      <c r="U77" s="38">
        <v>1000</v>
      </c>
      <c r="V77" s="38">
        <v>1125</v>
      </c>
      <c r="W77" s="38">
        <v>1250</v>
      </c>
    </row>
    <row r="78" spans="1:23" ht="15" customHeight="1" x14ac:dyDescent="0.2">
      <c r="A78" s="39" t="s">
        <v>153</v>
      </c>
      <c r="B78" s="135">
        <v>0</v>
      </c>
      <c r="C78" s="133">
        <f>3*Stats!$D$3+5*$H$78+MAX(0,SUMIF($A$2:$A$106,"Thief",$H$2:$H$106)*1)+MAX(0,SUMIF($A$2:$A$106,"Spy",$H$2:$H$106)*2)+MAX(0,SUMIF($A$2:$A$106,"Assassin",$H$2:$H$106)*2)+Bonuses!$R$3+Bonuses!$AD$3+$F$78</f>
        <v>33</v>
      </c>
      <c r="D78" s="45" t="str">
        <f>"Outdoors: "&amp;3*Stats!$D$3+5*$H$78+(SUMIF($A$2:$A$106,"Ranger",$B$2:$B$106)*3)+Bonuses!$R$3+Bonuses!$AD$3</f>
        <v>Outdoors: 33</v>
      </c>
      <c r="F78" s="380"/>
      <c r="G78" s="380"/>
      <c r="H78" s="38">
        <f t="shared" si="2"/>
        <v>0</v>
      </c>
      <c r="I78" s="38">
        <v>7</v>
      </c>
      <c r="J78" s="38">
        <v>0</v>
      </c>
      <c r="K78" s="630">
        <v>1</v>
      </c>
      <c r="L78" s="38">
        <v>500</v>
      </c>
      <c r="M78" s="38">
        <v>0</v>
      </c>
      <c r="N78" s="38">
        <v>500</v>
      </c>
      <c r="O78" s="38">
        <v>1000</v>
      </c>
      <c r="P78" s="38">
        <v>1500</v>
      </c>
      <c r="Q78" s="38">
        <v>2000</v>
      </c>
      <c r="R78" s="38">
        <v>2500</v>
      </c>
      <c r="S78" s="38">
        <v>3000</v>
      </c>
      <c r="T78" s="38">
        <v>3500</v>
      </c>
      <c r="U78" s="38">
        <v>4000</v>
      </c>
      <c r="V78" s="38">
        <v>4500</v>
      </c>
      <c r="W78" s="38">
        <v>5000</v>
      </c>
    </row>
    <row r="79" spans="1:23" ht="15" customHeight="1" x14ac:dyDescent="0.2">
      <c r="A79" s="42" t="s">
        <v>152</v>
      </c>
      <c r="B79" s="135">
        <v>0</v>
      </c>
      <c r="C79" s="133">
        <f>Stats!$B$3+Stats!$D$3+Stats!$G$3+8*$H$79+Bonuses!$R$3-ROUND(Bonuses!$C$3,0)+Bonuses!$AH$3+$F$79</f>
        <v>16</v>
      </c>
      <c r="D79" s="44" t="str">
        <f ca="1">"Swim TMR: "&amp;ROUND((Stats!$J$3+$H$79)/3,0)</f>
        <v>Swim TMR: 1</v>
      </c>
      <c r="F79" s="380"/>
      <c r="G79" s="380"/>
      <c r="H79" s="38">
        <f t="shared" si="2"/>
        <v>0</v>
      </c>
      <c r="I79" s="38">
        <v>7</v>
      </c>
      <c r="J79" s="38">
        <v>0</v>
      </c>
      <c r="K79" s="630">
        <v>1</v>
      </c>
      <c r="L79" s="38">
        <v>125</v>
      </c>
      <c r="M79" s="38">
        <v>0</v>
      </c>
      <c r="N79" s="38">
        <v>125</v>
      </c>
      <c r="O79" s="38">
        <v>250</v>
      </c>
      <c r="P79" s="38">
        <v>375</v>
      </c>
      <c r="Q79" s="38">
        <v>500</v>
      </c>
      <c r="R79" s="38">
        <v>625</v>
      </c>
      <c r="S79" s="38">
        <v>750</v>
      </c>
      <c r="T79" s="38">
        <v>875</v>
      </c>
      <c r="U79" s="38">
        <v>1000</v>
      </c>
      <c r="V79" s="38">
        <v>1125</v>
      </c>
      <c r="W79" s="38">
        <v>1250</v>
      </c>
    </row>
    <row r="80" spans="1:23" ht="15" customHeight="1" x14ac:dyDescent="0.2">
      <c r="A80" s="129" t="s">
        <v>163</v>
      </c>
      <c r="B80" s="130"/>
      <c r="C80" s="130"/>
      <c r="D80" s="131" t="s">
        <v>1881</v>
      </c>
    </row>
    <row r="81" spans="1:23" ht="15" customHeight="1" x14ac:dyDescent="0.2">
      <c r="A81" s="54" t="s">
        <v>164</v>
      </c>
      <c r="B81" s="135">
        <v>8</v>
      </c>
      <c r="C81" s="43"/>
      <c r="D81" s="179" t="s">
        <v>1880</v>
      </c>
      <c r="G81" s="380"/>
      <c r="H81" s="38">
        <f t="shared" ref="H81:H106" si="3">IFERROR(B81+G81,-1+G81)</f>
        <v>8</v>
      </c>
      <c r="I81" s="38">
        <v>7</v>
      </c>
      <c r="J81" s="38">
        <v>7</v>
      </c>
      <c r="K81" s="630">
        <f>IF($H$35&gt;IFERROR(B81*1,-1),IF(ISERR(SEARCH(A81,$D$35)),IF(ISERR(SEARCH("Linguistics",$D$35)),0.9,0.8),0.7),1)*IF(MAX(B82:B106)&gt;B81,0.5,1)</f>
        <v>1</v>
      </c>
      <c r="M81" s="38">
        <v>200</v>
      </c>
      <c r="N81" s="38">
        <v>75</v>
      </c>
      <c r="O81" s="38">
        <v>125</v>
      </c>
      <c r="P81" s="38">
        <v>300</v>
      </c>
      <c r="Q81" s="38">
        <v>550</v>
      </c>
      <c r="R81" s="38">
        <v>850</v>
      </c>
      <c r="S81" s="38">
        <v>1350</v>
      </c>
      <c r="T81" s="38">
        <v>1700</v>
      </c>
      <c r="U81" s="38">
        <v>2250</v>
      </c>
      <c r="V81" s="38">
        <v>2900</v>
      </c>
      <c r="W81" s="38">
        <v>3500</v>
      </c>
    </row>
    <row r="82" spans="1:23" ht="15" customHeight="1" x14ac:dyDescent="0.2">
      <c r="A82" s="182" t="s">
        <v>590</v>
      </c>
      <c r="B82" s="135" t="s">
        <v>283</v>
      </c>
      <c r="C82" s="40"/>
      <c r="D82" s="179"/>
      <c r="G82" s="380"/>
      <c r="H82" s="38">
        <f t="shared" si="3"/>
        <v>-1</v>
      </c>
      <c r="I82" s="38">
        <v>7</v>
      </c>
      <c r="J82" s="38">
        <v>7</v>
      </c>
      <c r="K82" s="630">
        <f>IF($H$35&gt;IFERROR(B82*1,-1),IF(ISERR(SEARCH(A82,$D$35)),IF(ISERR(SEARCH("Linguistics",$D$35)),0.9,0.8),0.7),1)</f>
        <v>1</v>
      </c>
      <c r="M82" s="38">
        <v>200</v>
      </c>
      <c r="N82" s="38">
        <v>75</v>
      </c>
      <c r="O82" s="38">
        <v>125</v>
      </c>
      <c r="P82" s="38">
        <v>300</v>
      </c>
      <c r="Q82" s="38">
        <v>550</v>
      </c>
      <c r="R82" s="38">
        <v>850</v>
      </c>
      <c r="S82" s="38">
        <v>1350</v>
      </c>
      <c r="T82" s="38">
        <v>1700</v>
      </c>
      <c r="U82" s="38">
        <v>2250</v>
      </c>
      <c r="V82" s="38">
        <v>2900</v>
      </c>
      <c r="W82" s="38">
        <v>3500</v>
      </c>
    </row>
    <row r="83" spans="1:23" ht="15" customHeight="1" x14ac:dyDescent="0.2">
      <c r="A83" s="180" t="s">
        <v>165</v>
      </c>
      <c r="B83" s="135" t="s">
        <v>283</v>
      </c>
      <c r="C83" s="43"/>
      <c r="D83" s="181"/>
      <c r="G83" s="380"/>
      <c r="H83" s="38">
        <f t="shared" si="3"/>
        <v>-1</v>
      </c>
      <c r="I83" s="38">
        <v>7</v>
      </c>
      <c r="J83" s="38">
        <v>7</v>
      </c>
      <c r="K83" s="630">
        <f t="shared" ref="K83:K106" si="4">IF($H$35&gt;IFERROR(B83*1,-1),IF(ISERR(SEARCH(A83,$D$35)),IF(ISERR(SEARCH("Linguistics",$D$35)),0.9,0.8),0.7),1)</f>
        <v>1</v>
      </c>
      <c r="M83" s="38">
        <v>200</v>
      </c>
      <c r="N83" s="38">
        <v>75</v>
      </c>
      <c r="O83" s="38">
        <v>125</v>
      </c>
      <c r="P83" s="38">
        <v>300</v>
      </c>
      <c r="Q83" s="38">
        <v>550</v>
      </c>
      <c r="R83" s="38">
        <v>850</v>
      </c>
      <c r="S83" s="38">
        <v>1350</v>
      </c>
      <c r="T83" s="38">
        <v>1700</v>
      </c>
      <c r="U83" s="38">
        <v>2250</v>
      </c>
      <c r="V83" s="38">
        <v>2900</v>
      </c>
      <c r="W83" s="38">
        <v>3500</v>
      </c>
    </row>
    <row r="84" spans="1:23" ht="15" customHeight="1" x14ac:dyDescent="0.2">
      <c r="A84" s="182" t="s">
        <v>517</v>
      </c>
      <c r="B84" s="135" t="s">
        <v>283</v>
      </c>
      <c r="C84" s="40"/>
      <c r="D84" s="179"/>
      <c r="G84" s="380"/>
      <c r="H84" s="38">
        <f t="shared" si="3"/>
        <v>-1</v>
      </c>
      <c r="I84" s="38">
        <v>7</v>
      </c>
      <c r="J84" s="38">
        <v>7</v>
      </c>
      <c r="K84" s="630">
        <f t="shared" si="4"/>
        <v>1</v>
      </c>
      <c r="M84" s="38">
        <v>200</v>
      </c>
      <c r="N84" s="38">
        <v>75</v>
      </c>
      <c r="O84" s="38">
        <v>125</v>
      </c>
      <c r="P84" s="38">
        <v>300</v>
      </c>
      <c r="Q84" s="38">
        <v>550</v>
      </c>
      <c r="R84" s="38">
        <v>850</v>
      </c>
      <c r="S84" s="38">
        <v>1350</v>
      </c>
      <c r="T84" s="38">
        <v>1700</v>
      </c>
      <c r="U84" s="38">
        <v>2250</v>
      </c>
      <c r="V84" s="38">
        <v>2900</v>
      </c>
      <c r="W84" s="38">
        <v>3500</v>
      </c>
    </row>
    <row r="85" spans="1:23" ht="15" customHeight="1" x14ac:dyDescent="0.2">
      <c r="A85" s="180" t="s">
        <v>1597</v>
      </c>
      <c r="B85" s="68" t="s">
        <v>283</v>
      </c>
      <c r="C85" s="43"/>
      <c r="D85" s="181"/>
      <c r="G85" s="380"/>
      <c r="H85" s="38">
        <f t="shared" si="3"/>
        <v>-1</v>
      </c>
      <c r="I85" s="38">
        <v>7</v>
      </c>
      <c r="J85" s="38">
        <v>7</v>
      </c>
      <c r="K85" s="630">
        <f t="shared" si="4"/>
        <v>1</v>
      </c>
      <c r="M85" s="38">
        <v>200</v>
      </c>
      <c r="N85" s="38">
        <v>75</v>
      </c>
      <c r="O85" s="38">
        <v>125</v>
      </c>
      <c r="P85" s="38">
        <v>300</v>
      </c>
      <c r="Q85" s="38">
        <v>550</v>
      </c>
      <c r="R85" s="38">
        <v>850</v>
      </c>
      <c r="S85" s="38">
        <v>1350</v>
      </c>
      <c r="T85" s="38">
        <v>1700</v>
      </c>
      <c r="U85" s="38">
        <v>2250</v>
      </c>
      <c r="V85" s="38">
        <v>2900</v>
      </c>
      <c r="W85" s="38">
        <v>3500</v>
      </c>
    </row>
    <row r="86" spans="1:23" ht="15" customHeight="1" x14ac:dyDescent="0.2">
      <c r="A86" s="182" t="s">
        <v>1219</v>
      </c>
      <c r="B86" s="135" t="s">
        <v>283</v>
      </c>
      <c r="C86" s="40"/>
      <c r="D86" s="179"/>
      <c r="G86" s="380"/>
      <c r="H86" s="38">
        <f t="shared" si="3"/>
        <v>-1</v>
      </c>
      <c r="I86" s="38">
        <v>7</v>
      </c>
      <c r="J86" s="38">
        <v>7</v>
      </c>
      <c r="K86" s="630">
        <f t="shared" si="4"/>
        <v>1</v>
      </c>
      <c r="M86" s="38">
        <v>200</v>
      </c>
      <c r="N86" s="38">
        <v>75</v>
      </c>
      <c r="O86" s="38">
        <v>125</v>
      </c>
      <c r="P86" s="38">
        <v>300</v>
      </c>
      <c r="Q86" s="38">
        <v>550</v>
      </c>
      <c r="R86" s="38">
        <v>850</v>
      </c>
      <c r="S86" s="38">
        <v>1350</v>
      </c>
      <c r="T86" s="38">
        <v>1700</v>
      </c>
      <c r="U86" s="38">
        <v>2250</v>
      </c>
      <c r="V86" s="38">
        <v>2900</v>
      </c>
      <c r="W86" s="38">
        <v>3500</v>
      </c>
    </row>
    <row r="87" spans="1:23" ht="15" customHeight="1" x14ac:dyDescent="0.2">
      <c r="A87" s="180" t="s">
        <v>1757</v>
      </c>
      <c r="B87" s="68" t="s">
        <v>283</v>
      </c>
      <c r="C87" s="43"/>
      <c r="D87" s="181"/>
      <c r="G87" s="380"/>
      <c r="H87" s="38">
        <f t="shared" si="3"/>
        <v>-1</v>
      </c>
      <c r="I87" s="38">
        <v>7</v>
      </c>
      <c r="J87" s="38">
        <v>7</v>
      </c>
      <c r="K87" s="630">
        <f t="shared" si="4"/>
        <v>1</v>
      </c>
      <c r="M87" s="38">
        <v>200</v>
      </c>
      <c r="N87" s="38">
        <v>75</v>
      </c>
      <c r="O87" s="38">
        <v>125</v>
      </c>
      <c r="P87" s="38">
        <v>300</v>
      </c>
      <c r="Q87" s="38">
        <v>550</v>
      </c>
      <c r="R87" s="38">
        <v>850</v>
      </c>
      <c r="S87" s="38">
        <v>1350</v>
      </c>
      <c r="T87" s="38">
        <v>1700</v>
      </c>
      <c r="U87" s="38">
        <v>2250</v>
      </c>
      <c r="V87" s="38">
        <v>2900</v>
      </c>
      <c r="W87" s="38">
        <v>3500</v>
      </c>
    </row>
    <row r="88" spans="1:23" ht="15" customHeight="1" x14ac:dyDescent="0.2">
      <c r="A88" s="182"/>
      <c r="B88" s="135" t="s">
        <v>283</v>
      </c>
      <c r="C88" s="40"/>
      <c r="D88" s="179"/>
      <c r="G88" s="380"/>
      <c r="H88" s="38">
        <f t="shared" si="3"/>
        <v>-1</v>
      </c>
      <c r="I88" s="38">
        <v>7</v>
      </c>
      <c r="J88" s="38">
        <v>7</v>
      </c>
      <c r="K88" s="630">
        <f t="shared" si="4"/>
        <v>1</v>
      </c>
      <c r="M88" s="38">
        <v>200</v>
      </c>
      <c r="N88" s="38">
        <v>75</v>
      </c>
      <c r="O88" s="38">
        <v>125</v>
      </c>
      <c r="P88" s="38">
        <v>300</v>
      </c>
      <c r="Q88" s="38">
        <v>550</v>
      </c>
      <c r="R88" s="38">
        <v>850</v>
      </c>
      <c r="S88" s="38">
        <v>1350</v>
      </c>
      <c r="T88" s="38">
        <v>1700</v>
      </c>
      <c r="U88" s="38">
        <v>2250</v>
      </c>
      <c r="V88" s="38">
        <v>2900</v>
      </c>
      <c r="W88" s="38">
        <v>3500</v>
      </c>
    </row>
    <row r="89" spans="1:23" ht="15" customHeight="1" x14ac:dyDescent="0.2">
      <c r="A89" s="180"/>
      <c r="B89" s="68" t="s">
        <v>283</v>
      </c>
      <c r="C89" s="43"/>
      <c r="D89" s="181"/>
      <c r="G89" s="380"/>
      <c r="H89" s="38">
        <f t="shared" si="3"/>
        <v>-1</v>
      </c>
      <c r="I89" s="38">
        <v>7</v>
      </c>
      <c r="J89" s="38">
        <v>7</v>
      </c>
      <c r="K89" s="630">
        <f t="shared" si="4"/>
        <v>1</v>
      </c>
      <c r="M89" s="38">
        <v>200</v>
      </c>
      <c r="N89" s="38">
        <v>75</v>
      </c>
      <c r="O89" s="38">
        <v>125</v>
      </c>
      <c r="P89" s="38">
        <v>300</v>
      </c>
      <c r="Q89" s="38">
        <v>550</v>
      </c>
      <c r="R89" s="38">
        <v>850</v>
      </c>
      <c r="S89" s="38">
        <v>1350</v>
      </c>
      <c r="T89" s="38">
        <v>1700</v>
      </c>
      <c r="U89" s="38">
        <v>2250</v>
      </c>
      <c r="V89" s="38">
        <v>2900</v>
      </c>
      <c r="W89" s="38">
        <v>3500</v>
      </c>
    </row>
    <row r="90" spans="1:23" ht="15" customHeight="1" x14ac:dyDescent="0.2">
      <c r="A90" s="182"/>
      <c r="B90" s="135" t="s">
        <v>283</v>
      </c>
      <c r="C90" s="40"/>
      <c r="D90" s="179"/>
      <c r="G90" s="380"/>
      <c r="H90" s="38">
        <f t="shared" si="3"/>
        <v>-1</v>
      </c>
      <c r="I90" s="38">
        <v>7</v>
      </c>
      <c r="J90" s="38">
        <v>7</v>
      </c>
      <c r="K90" s="630">
        <f t="shared" si="4"/>
        <v>1</v>
      </c>
      <c r="M90" s="38">
        <v>200</v>
      </c>
      <c r="N90" s="38">
        <v>75</v>
      </c>
      <c r="O90" s="38">
        <v>125</v>
      </c>
      <c r="P90" s="38">
        <v>300</v>
      </c>
      <c r="Q90" s="38">
        <v>550</v>
      </c>
      <c r="R90" s="38">
        <v>850</v>
      </c>
      <c r="S90" s="38">
        <v>1350</v>
      </c>
      <c r="T90" s="38">
        <v>1700</v>
      </c>
      <c r="U90" s="38">
        <v>2250</v>
      </c>
      <c r="V90" s="38">
        <v>2900</v>
      </c>
      <c r="W90" s="38">
        <v>3500</v>
      </c>
    </row>
    <row r="91" spans="1:23" ht="15" customHeight="1" x14ac:dyDescent="0.2">
      <c r="A91" s="180"/>
      <c r="B91" s="68" t="s">
        <v>283</v>
      </c>
      <c r="C91" s="43"/>
      <c r="D91" s="181"/>
      <c r="G91" s="380"/>
      <c r="H91" s="38">
        <f t="shared" si="3"/>
        <v>-1</v>
      </c>
      <c r="I91" s="38">
        <v>7</v>
      </c>
      <c r="J91" s="38">
        <v>7</v>
      </c>
      <c r="K91" s="630">
        <f t="shared" si="4"/>
        <v>1</v>
      </c>
      <c r="M91" s="38">
        <v>200</v>
      </c>
      <c r="N91" s="38">
        <v>75</v>
      </c>
      <c r="O91" s="38">
        <v>125</v>
      </c>
      <c r="P91" s="38">
        <v>300</v>
      </c>
      <c r="Q91" s="38">
        <v>550</v>
      </c>
      <c r="R91" s="38">
        <v>850</v>
      </c>
      <c r="S91" s="38">
        <v>1350</v>
      </c>
      <c r="T91" s="38">
        <v>1700</v>
      </c>
      <c r="U91" s="38">
        <v>2250</v>
      </c>
      <c r="V91" s="38">
        <v>2900</v>
      </c>
      <c r="W91" s="38">
        <v>3500</v>
      </c>
    </row>
    <row r="92" spans="1:23" ht="15" customHeight="1" x14ac:dyDescent="0.2">
      <c r="A92" s="182"/>
      <c r="B92" s="135" t="s">
        <v>283</v>
      </c>
      <c r="C92" s="40"/>
      <c r="D92" s="179"/>
      <c r="G92" s="380"/>
      <c r="H92" s="38">
        <f t="shared" si="3"/>
        <v>-1</v>
      </c>
      <c r="I92" s="38">
        <v>7</v>
      </c>
      <c r="J92" s="38">
        <v>7</v>
      </c>
      <c r="K92" s="630">
        <f t="shared" si="4"/>
        <v>1</v>
      </c>
      <c r="M92" s="38">
        <v>200</v>
      </c>
      <c r="N92" s="38">
        <v>75</v>
      </c>
      <c r="O92" s="38">
        <v>125</v>
      </c>
      <c r="P92" s="38">
        <v>300</v>
      </c>
      <c r="Q92" s="38">
        <v>550</v>
      </c>
      <c r="R92" s="38">
        <v>850</v>
      </c>
      <c r="S92" s="38">
        <v>1350</v>
      </c>
      <c r="T92" s="38">
        <v>1700</v>
      </c>
      <c r="U92" s="38">
        <v>2250</v>
      </c>
      <c r="V92" s="38">
        <v>2900</v>
      </c>
      <c r="W92" s="38">
        <v>3500</v>
      </c>
    </row>
    <row r="93" spans="1:23" ht="15" customHeight="1" x14ac:dyDescent="0.2">
      <c r="A93" s="180"/>
      <c r="B93" s="68" t="s">
        <v>283</v>
      </c>
      <c r="C93" s="43"/>
      <c r="D93" s="181"/>
      <c r="G93" s="380"/>
      <c r="H93" s="38">
        <f t="shared" si="3"/>
        <v>-1</v>
      </c>
      <c r="I93" s="38">
        <v>7</v>
      </c>
      <c r="J93" s="38">
        <v>7</v>
      </c>
      <c r="K93" s="630">
        <f t="shared" si="4"/>
        <v>1</v>
      </c>
      <c r="M93" s="38">
        <v>200</v>
      </c>
      <c r="N93" s="38">
        <v>75</v>
      </c>
      <c r="O93" s="38">
        <v>125</v>
      </c>
      <c r="P93" s="38">
        <v>300</v>
      </c>
      <c r="Q93" s="38">
        <v>550</v>
      </c>
      <c r="R93" s="38">
        <v>850</v>
      </c>
      <c r="S93" s="38">
        <v>1350</v>
      </c>
      <c r="T93" s="38">
        <v>1700</v>
      </c>
      <c r="U93" s="38">
        <v>2250</v>
      </c>
      <c r="V93" s="38">
        <v>2900</v>
      </c>
      <c r="W93" s="38">
        <v>3500</v>
      </c>
    </row>
    <row r="94" spans="1:23" ht="15" customHeight="1" x14ac:dyDescent="0.2">
      <c r="A94" s="182"/>
      <c r="B94" s="135" t="s">
        <v>283</v>
      </c>
      <c r="C94" s="40"/>
      <c r="D94" s="179"/>
      <c r="G94" s="380"/>
      <c r="H94" s="38">
        <f t="shared" si="3"/>
        <v>-1</v>
      </c>
      <c r="I94" s="38">
        <v>7</v>
      </c>
      <c r="J94" s="38">
        <v>7</v>
      </c>
      <c r="K94" s="630">
        <f t="shared" si="4"/>
        <v>1</v>
      </c>
      <c r="M94" s="38">
        <v>200</v>
      </c>
      <c r="N94" s="38">
        <v>75</v>
      </c>
      <c r="O94" s="38">
        <v>125</v>
      </c>
      <c r="P94" s="38">
        <v>300</v>
      </c>
      <c r="Q94" s="38">
        <v>550</v>
      </c>
      <c r="R94" s="38">
        <v>850</v>
      </c>
      <c r="S94" s="38">
        <v>1350</v>
      </c>
      <c r="T94" s="38">
        <v>1700</v>
      </c>
      <c r="U94" s="38">
        <v>2250</v>
      </c>
      <c r="V94" s="38">
        <v>2900</v>
      </c>
      <c r="W94" s="38">
        <v>3500</v>
      </c>
    </row>
    <row r="95" spans="1:23" ht="15" customHeight="1" x14ac:dyDescent="0.2">
      <c r="A95" s="180"/>
      <c r="B95" s="68" t="s">
        <v>283</v>
      </c>
      <c r="C95" s="43"/>
      <c r="D95" s="181"/>
      <c r="G95" s="380"/>
      <c r="H95" s="38">
        <f t="shared" si="3"/>
        <v>-1</v>
      </c>
      <c r="I95" s="38">
        <v>7</v>
      </c>
      <c r="J95" s="38">
        <v>7</v>
      </c>
      <c r="K95" s="630">
        <f t="shared" si="4"/>
        <v>1</v>
      </c>
      <c r="M95" s="38">
        <v>200</v>
      </c>
      <c r="N95" s="38">
        <v>75</v>
      </c>
      <c r="O95" s="38">
        <v>125</v>
      </c>
      <c r="P95" s="38">
        <v>300</v>
      </c>
      <c r="Q95" s="38">
        <v>550</v>
      </c>
      <c r="R95" s="38">
        <v>850</v>
      </c>
      <c r="S95" s="38">
        <v>1350</v>
      </c>
      <c r="T95" s="38">
        <v>1700</v>
      </c>
      <c r="U95" s="38">
        <v>2250</v>
      </c>
      <c r="V95" s="38">
        <v>2900</v>
      </c>
      <c r="W95" s="38">
        <v>3500</v>
      </c>
    </row>
    <row r="96" spans="1:23" ht="15" customHeight="1" x14ac:dyDescent="0.2">
      <c r="A96" s="182"/>
      <c r="B96" s="135" t="s">
        <v>283</v>
      </c>
      <c r="C96" s="40"/>
      <c r="D96" s="179"/>
      <c r="G96" s="380"/>
      <c r="H96" s="38">
        <f t="shared" si="3"/>
        <v>-1</v>
      </c>
      <c r="I96" s="38">
        <v>7</v>
      </c>
      <c r="J96" s="38">
        <v>7</v>
      </c>
      <c r="K96" s="630">
        <f t="shared" si="4"/>
        <v>1</v>
      </c>
      <c r="M96" s="38">
        <v>200</v>
      </c>
      <c r="N96" s="38">
        <v>75</v>
      </c>
      <c r="O96" s="38">
        <v>125</v>
      </c>
      <c r="P96" s="38">
        <v>300</v>
      </c>
      <c r="Q96" s="38">
        <v>550</v>
      </c>
      <c r="R96" s="38">
        <v>850</v>
      </c>
      <c r="S96" s="38">
        <v>1350</v>
      </c>
      <c r="T96" s="38">
        <v>1700</v>
      </c>
      <c r="U96" s="38">
        <v>2250</v>
      </c>
      <c r="V96" s="38">
        <v>2900</v>
      </c>
      <c r="W96" s="38">
        <v>3500</v>
      </c>
    </row>
    <row r="97" spans="1:23" ht="15" customHeight="1" x14ac:dyDescent="0.2">
      <c r="A97" s="180"/>
      <c r="B97" s="68" t="s">
        <v>283</v>
      </c>
      <c r="C97" s="43"/>
      <c r="D97" s="181"/>
      <c r="G97" s="380"/>
      <c r="H97" s="38">
        <f t="shared" si="3"/>
        <v>-1</v>
      </c>
      <c r="I97" s="38">
        <v>7</v>
      </c>
      <c r="J97" s="38">
        <v>7</v>
      </c>
      <c r="K97" s="630">
        <f t="shared" si="4"/>
        <v>1</v>
      </c>
      <c r="M97" s="38">
        <v>200</v>
      </c>
      <c r="N97" s="38">
        <v>75</v>
      </c>
      <c r="O97" s="38">
        <v>125</v>
      </c>
      <c r="P97" s="38">
        <v>300</v>
      </c>
      <c r="Q97" s="38">
        <v>550</v>
      </c>
      <c r="R97" s="38">
        <v>850</v>
      </c>
      <c r="S97" s="38">
        <v>1350</v>
      </c>
      <c r="T97" s="38">
        <v>1700</v>
      </c>
      <c r="U97" s="38">
        <v>2250</v>
      </c>
      <c r="V97" s="38">
        <v>2900</v>
      </c>
      <c r="W97" s="38">
        <v>3500</v>
      </c>
    </row>
    <row r="98" spans="1:23" ht="15" customHeight="1" x14ac:dyDescent="0.2">
      <c r="A98" s="182"/>
      <c r="B98" s="135" t="s">
        <v>283</v>
      </c>
      <c r="C98" s="40"/>
      <c r="D98" s="179"/>
      <c r="G98" s="380"/>
      <c r="H98" s="38">
        <f t="shared" si="3"/>
        <v>-1</v>
      </c>
      <c r="I98" s="38">
        <v>7</v>
      </c>
      <c r="J98" s="38">
        <v>7</v>
      </c>
      <c r="K98" s="630">
        <f t="shared" si="4"/>
        <v>1</v>
      </c>
      <c r="M98" s="38">
        <v>200</v>
      </c>
      <c r="N98" s="38">
        <v>75</v>
      </c>
      <c r="O98" s="38">
        <v>125</v>
      </c>
      <c r="P98" s="38">
        <v>300</v>
      </c>
      <c r="Q98" s="38">
        <v>550</v>
      </c>
      <c r="R98" s="38">
        <v>850</v>
      </c>
      <c r="S98" s="38">
        <v>1350</v>
      </c>
      <c r="T98" s="38">
        <v>1700</v>
      </c>
      <c r="U98" s="38">
        <v>2250</v>
      </c>
      <c r="V98" s="38">
        <v>2900</v>
      </c>
      <c r="W98" s="38">
        <v>3500</v>
      </c>
    </row>
    <row r="99" spans="1:23" ht="15" customHeight="1" x14ac:dyDescent="0.2">
      <c r="A99" s="180"/>
      <c r="B99" s="68" t="s">
        <v>283</v>
      </c>
      <c r="C99" s="43"/>
      <c r="D99" s="181"/>
      <c r="G99" s="380"/>
      <c r="H99" s="38">
        <f t="shared" si="3"/>
        <v>-1</v>
      </c>
      <c r="I99" s="38">
        <v>7</v>
      </c>
      <c r="J99" s="38">
        <v>7</v>
      </c>
      <c r="K99" s="630">
        <f t="shared" si="4"/>
        <v>1</v>
      </c>
      <c r="M99" s="38">
        <v>200</v>
      </c>
      <c r="N99" s="38">
        <v>75</v>
      </c>
      <c r="O99" s="38">
        <v>125</v>
      </c>
      <c r="P99" s="38">
        <v>300</v>
      </c>
      <c r="Q99" s="38">
        <v>550</v>
      </c>
      <c r="R99" s="38">
        <v>850</v>
      </c>
      <c r="S99" s="38">
        <v>1350</v>
      </c>
      <c r="T99" s="38">
        <v>1700</v>
      </c>
      <c r="U99" s="38">
        <v>2250</v>
      </c>
      <c r="V99" s="38">
        <v>2900</v>
      </c>
      <c r="W99" s="38">
        <v>3500</v>
      </c>
    </row>
    <row r="100" spans="1:23" ht="15" customHeight="1" x14ac:dyDescent="0.2">
      <c r="A100" s="182"/>
      <c r="B100" s="135" t="s">
        <v>283</v>
      </c>
      <c r="C100" s="40"/>
      <c r="D100" s="179"/>
      <c r="G100" s="380"/>
      <c r="H100" s="38">
        <f t="shared" si="3"/>
        <v>-1</v>
      </c>
      <c r="I100" s="38">
        <v>7</v>
      </c>
      <c r="J100" s="38">
        <v>7</v>
      </c>
      <c r="K100" s="630">
        <f t="shared" si="4"/>
        <v>1</v>
      </c>
      <c r="M100" s="38">
        <v>200</v>
      </c>
      <c r="N100" s="38">
        <v>75</v>
      </c>
      <c r="O100" s="38">
        <v>125</v>
      </c>
      <c r="P100" s="38">
        <v>300</v>
      </c>
      <c r="Q100" s="38">
        <v>550</v>
      </c>
      <c r="R100" s="38">
        <v>850</v>
      </c>
      <c r="S100" s="38">
        <v>1350</v>
      </c>
      <c r="T100" s="38">
        <v>1700</v>
      </c>
      <c r="U100" s="38">
        <v>2250</v>
      </c>
      <c r="V100" s="38">
        <v>2900</v>
      </c>
      <c r="W100" s="38">
        <v>3500</v>
      </c>
    </row>
    <row r="101" spans="1:23" ht="15" customHeight="1" x14ac:dyDescent="0.2">
      <c r="A101" s="180"/>
      <c r="B101" s="68" t="s">
        <v>283</v>
      </c>
      <c r="C101" s="43"/>
      <c r="D101" s="181"/>
      <c r="G101" s="380"/>
      <c r="H101" s="38">
        <f t="shared" si="3"/>
        <v>-1</v>
      </c>
      <c r="I101" s="38">
        <v>7</v>
      </c>
      <c r="J101" s="38">
        <v>7</v>
      </c>
      <c r="K101" s="630">
        <f t="shared" si="4"/>
        <v>1</v>
      </c>
      <c r="M101" s="38">
        <v>200</v>
      </c>
      <c r="N101" s="38">
        <v>75</v>
      </c>
      <c r="O101" s="38">
        <v>125</v>
      </c>
      <c r="P101" s="38">
        <v>300</v>
      </c>
      <c r="Q101" s="38">
        <v>550</v>
      </c>
      <c r="R101" s="38">
        <v>850</v>
      </c>
      <c r="S101" s="38">
        <v>1350</v>
      </c>
      <c r="T101" s="38">
        <v>1700</v>
      </c>
      <c r="U101" s="38">
        <v>2250</v>
      </c>
      <c r="V101" s="38">
        <v>2900</v>
      </c>
      <c r="W101" s="38">
        <v>3500</v>
      </c>
    </row>
    <row r="102" spans="1:23" ht="15" customHeight="1" x14ac:dyDescent="0.2">
      <c r="A102" s="182"/>
      <c r="B102" s="135" t="s">
        <v>283</v>
      </c>
      <c r="C102" s="40"/>
      <c r="D102" s="179"/>
      <c r="G102" s="380"/>
      <c r="H102" s="38">
        <f t="shared" si="3"/>
        <v>-1</v>
      </c>
      <c r="I102" s="38">
        <v>7</v>
      </c>
      <c r="J102" s="38">
        <v>7</v>
      </c>
      <c r="K102" s="630">
        <f t="shared" si="4"/>
        <v>1</v>
      </c>
      <c r="M102" s="38">
        <v>200</v>
      </c>
      <c r="N102" s="38">
        <v>75</v>
      </c>
      <c r="O102" s="38">
        <v>125</v>
      </c>
      <c r="P102" s="38">
        <v>300</v>
      </c>
      <c r="Q102" s="38">
        <v>550</v>
      </c>
      <c r="R102" s="38">
        <v>850</v>
      </c>
      <c r="S102" s="38">
        <v>1350</v>
      </c>
      <c r="T102" s="38">
        <v>1700</v>
      </c>
      <c r="U102" s="38">
        <v>2250</v>
      </c>
      <c r="V102" s="38">
        <v>2900</v>
      </c>
      <c r="W102" s="38">
        <v>3500</v>
      </c>
    </row>
    <row r="103" spans="1:23" ht="15" customHeight="1" x14ac:dyDescent="0.2">
      <c r="A103" s="180"/>
      <c r="B103" s="68" t="s">
        <v>283</v>
      </c>
      <c r="C103" s="43"/>
      <c r="D103" s="181"/>
      <c r="G103" s="380"/>
      <c r="H103" s="38">
        <f t="shared" si="3"/>
        <v>-1</v>
      </c>
      <c r="I103" s="38">
        <v>7</v>
      </c>
      <c r="J103" s="38">
        <v>7</v>
      </c>
      <c r="K103" s="630">
        <f t="shared" si="4"/>
        <v>1</v>
      </c>
      <c r="M103" s="38">
        <v>200</v>
      </c>
      <c r="N103" s="38">
        <v>75</v>
      </c>
      <c r="O103" s="38">
        <v>125</v>
      </c>
      <c r="P103" s="38">
        <v>300</v>
      </c>
      <c r="Q103" s="38">
        <v>550</v>
      </c>
      <c r="R103" s="38">
        <v>850</v>
      </c>
      <c r="S103" s="38">
        <v>1350</v>
      </c>
      <c r="T103" s="38">
        <v>1700</v>
      </c>
      <c r="U103" s="38">
        <v>2250</v>
      </c>
      <c r="V103" s="38">
        <v>2900</v>
      </c>
      <c r="W103" s="38">
        <v>3500</v>
      </c>
    </row>
    <row r="104" spans="1:23" ht="15" customHeight="1" x14ac:dyDescent="0.2">
      <c r="A104" s="182"/>
      <c r="B104" s="135" t="s">
        <v>283</v>
      </c>
      <c r="C104" s="40"/>
      <c r="D104" s="179"/>
      <c r="G104" s="380"/>
      <c r="H104" s="38">
        <f t="shared" si="3"/>
        <v>-1</v>
      </c>
      <c r="I104" s="38">
        <v>7</v>
      </c>
      <c r="J104" s="38">
        <v>7</v>
      </c>
      <c r="K104" s="630">
        <f t="shared" si="4"/>
        <v>1</v>
      </c>
      <c r="M104" s="38">
        <v>200</v>
      </c>
      <c r="N104" s="38">
        <v>75</v>
      </c>
      <c r="O104" s="38">
        <v>125</v>
      </c>
      <c r="P104" s="38">
        <v>300</v>
      </c>
      <c r="Q104" s="38">
        <v>550</v>
      </c>
      <c r="R104" s="38">
        <v>850</v>
      </c>
      <c r="S104" s="38">
        <v>1350</v>
      </c>
      <c r="T104" s="38">
        <v>1700</v>
      </c>
      <c r="U104" s="38">
        <v>2250</v>
      </c>
      <c r="V104" s="38">
        <v>2900</v>
      </c>
      <c r="W104" s="38">
        <v>3500</v>
      </c>
    </row>
    <row r="105" spans="1:23" ht="15" customHeight="1" x14ac:dyDescent="0.2">
      <c r="A105" s="180"/>
      <c r="B105" s="68" t="s">
        <v>283</v>
      </c>
      <c r="C105" s="43"/>
      <c r="D105" s="181"/>
      <c r="G105" s="380"/>
      <c r="H105" s="38">
        <f t="shared" si="3"/>
        <v>-1</v>
      </c>
      <c r="I105" s="38">
        <v>7</v>
      </c>
      <c r="J105" s="38">
        <v>7</v>
      </c>
      <c r="K105" s="630">
        <f t="shared" si="4"/>
        <v>1</v>
      </c>
      <c r="M105" s="38">
        <v>200</v>
      </c>
      <c r="N105" s="38">
        <v>75</v>
      </c>
      <c r="O105" s="38">
        <v>125</v>
      </c>
      <c r="P105" s="38">
        <v>300</v>
      </c>
      <c r="Q105" s="38">
        <v>550</v>
      </c>
      <c r="R105" s="38">
        <v>850</v>
      </c>
      <c r="S105" s="38">
        <v>1350</v>
      </c>
      <c r="T105" s="38">
        <v>1700</v>
      </c>
      <c r="U105" s="38">
        <v>2250</v>
      </c>
      <c r="V105" s="38">
        <v>2900</v>
      </c>
      <c r="W105" s="38">
        <v>3500</v>
      </c>
    </row>
    <row r="106" spans="1:23" ht="15" customHeight="1" x14ac:dyDescent="0.2">
      <c r="A106" s="182"/>
      <c r="B106" s="135" t="s">
        <v>283</v>
      </c>
      <c r="C106" s="40"/>
      <c r="D106" s="179"/>
      <c r="G106" s="380"/>
      <c r="H106" s="38">
        <f t="shared" si="3"/>
        <v>-1</v>
      </c>
      <c r="I106" s="38">
        <v>7</v>
      </c>
      <c r="J106" s="38">
        <v>7</v>
      </c>
      <c r="K106" s="630">
        <f t="shared" si="4"/>
        <v>1</v>
      </c>
      <c r="M106" s="38">
        <v>200</v>
      </c>
      <c r="N106" s="38">
        <v>75</v>
      </c>
      <c r="O106" s="38">
        <v>125</v>
      </c>
      <c r="P106" s="38">
        <v>300</v>
      </c>
      <c r="Q106" s="38">
        <v>550</v>
      </c>
      <c r="R106" s="38">
        <v>850</v>
      </c>
      <c r="S106" s="38">
        <v>1350</v>
      </c>
      <c r="T106" s="38">
        <v>1700</v>
      </c>
      <c r="U106" s="38">
        <v>2250</v>
      </c>
      <c r="V106" s="38">
        <v>2900</v>
      </c>
      <c r="W106" s="38">
        <v>3500</v>
      </c>
    </row>
  </sheetData>
  <sortState xmlns:xlrd2="http://schemas.microsoft.com/office/spreadsheetml/2017/richdata2" ref="A88:A99">
    <sortCondition ref="A88:A99"/>
  </sortState>
  <phoneticPr fontId="3" type="noConversion"/>
  <pageMargins left="0.39370078740157483" right="0.39370078740157483" top="0.39370078740157483" bottom="0.39370078740157483" header="0.39370078740157483" footer="0.39370078740157483"/>
  <pageSetup paperSize="9" scale="97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Invalid Language" error="Please check your spelling or choose a valid DQ language._x000a_Ref. Languages tab." xr:uid="{C6D8AB75-0B21-4A20-8F16-D400CB9A8DE7}">
          <x14:formula1>
            <xm:f>Languages!$A$3:$A$95</xm:f>
          </x14:formula1>
          <xm:sqref>A81:A106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592"/>
  <sheetViews>
    <sheetView workbookViewId="0">
      <selection activeCell="S2" sqref="S2"/>
    </sheetView>
  </sheetViews>
  <sheetFormatPr defaultColWidth="9.140625" defaultRowHeight="12" x14ac:dyDescent="0.2"/>
  <cols>
    <col min="1" max="1" width="3.28515625" style="95" customWidth="1"/>
    <col min="2" max="2" width="24.85546875" style="79" customWidth="1"/>
    <col min="3" max="3" width="5.7109375" style="80" customWidth="1"/>
    <col min="4" max="6" width="4.7109375" style="81" customWidth="1"/>
    <col min="7" max="7" width="11.7109375" style="80" customWidth="1"/>
    <col min="8" max="8" width="11.7109375" style="151" customWidth="1"/>
    <col min="9" max="9" width="35.7109375" style="94" customWidth="1"/>
    <col min="10" max="10" width="5.85546875" style="394" customWidth="1"/>
    <col min="11" max="11" width="3.28515625" style="80" customWidth="1"/>
    <col min="12" max="12" width="17" style="80" bestFit="1" customWidth="1"/>
    <col min="13" max="13" width="11.7109375" style="75" bestFit="1" customWidth="1"/>
    <col min="14" max="14" width="6.5703125" style="75" customWidth="1"/>
    <col min="15" max="16" width="5.7109375" style="75" customWidth="1"/>
    <col min="17" max="17" width="13.7109375" style="82" customWidth="1"/>
    <col min="18" max="18" width="9.140625" style="83"/>
    <col min="19" max="16384" width="9.140625" style="34"/>
  </cols>
  <sheetData>
    <row r="1" spans="1:18" ht="15" customHeight="1" x14ac:dyDescent="0.2">
      <c r="A1" s="73"/>
      <c r="B1" s="73" t="s">
        <v>1103</v>
      </c>
      <c r="C1" s="74" t="s">
        <v>149</v>
      </c>
      <c r="D1" s="97" t="s">
        <v>231</v>
      </c>
      <c r="E1" s="97" t="s">
        <v>265</v>
      </c>
      <c r="F1" s="97" t="s">
        <v>266</v>
      </c>
      <c r="G1" s="74" t="s">
        <v>2</v>
      </c>
      <c r="H1" s="74" t="s">
        <v>232</v>
      </c>
      <c r="I1" s="74" t="s">
        <v>234</v>
      </c>
      <c r="J1" s="393" t="s">
        <v>233</v>
      </c>
      <c r="K1" s="75" t="s">
        <v>149</v>
      </c>
      <c r="L1" s="75" t="s">
        <v>235</v>
      </c>
      <c r="M1" s="75" t="s">
        <v>236</v>
      </c>
      <c r="N1" s="76" t="s">
        <v>269</v>
      </c>
      <c r="O1" s="3" t="s">
        <v>169</v>
      </c>
      <c r="P1" s="3" t="s">
        <v>171</v>
      </c>
      <c r="Q1" s="77" t="s">
        <v>237</v>
      </c>
      <c r="R1" s="78" t="s">
        <v>238</v>
      </c>
    </row>
    <row r="2" spans="1:18" x14ac:dyDescent="0.2">
      <c r="A2" s="95" t="s">
        <v>239</v>
      </c>
      <c r="B2" s="79" t="s">
        <v>286</v>
      </c>
      <c r="C2" s="126">
        <v>0</v>
      </c>
      <c r="D2" s="125"/>
      <c r="E2" s="125">
        <f t="shared" ref="E2:E30" si="0">D2*0.15</f>
        <v>0</v>
      </c>
      <c r="F2" s="125">
        <f t="shared" ref="F2:F30" si="1">D2*0.05</f>
        <v>0</v>
      </c>
      <c r="G2" s="184" t="s">
        <v>287</v>
      </c>
      <c r="J2" s="394">
        <v>150</v>
      </c>
      <c r="K2" s="80">
        <f>IF(ISERROR(C2*1),-1,C2+IF(LEFT(A2)="T",Bonuses!$BR$3,IF(LEFT(A2)="G",Bonuses!$BS$3,IF(LEFT(A2)="Q",Bonuses!$BT$3,IF(LEFT(A2)="S",Bonuses!$BU$3,IF(LEFT(A2)="R",Bonuses!$BV$3,0))))))+P2</f>
        <v>0</v>
      </c>
      <c r="L2" s="80">
        <v>0</v>
      </c>
      <c r="O2" s="380"/>
      <c r="P2" s="380"/>
    </row>
    <row r="3" spans="1:18" x14ac:dyDescent="0.2">
      <c r="A3" s="95" t="s">
        <v>241</v>
      </c>
      <c r="B3" s="79" t="s">
        <v>288</v>
      </c>
      <c r="C3" s="126">
        <v>0</v>
      </c>
      <c r="D3" s="125">
        <f>M3+O3+(K3*N3)+IF(OR(LEFT(A3)="G",LEFT(A3)="S"),Stats!$E$3-15+Bonuses!$BO$3,IF(OR(LEFT(A3)="Q",LEFT(A3)="R"),Bonuses!$BQ$3,Bonuses!$BP$3))</f>
        <v>15</v>
      </c>
      <c r="E3" s="125">
        <f t="shared" si="0"/>
        <v>2.25</v>
      </c>
      <c r="F3" s="125">
        <f t="shared" ref="F3:F14" si="2">D3*0.05</f>
        <v>0.75</v>
      </c>
      <c r="G3" s="84" t="str">
        <f>15*(1+K3)&amp;" Feet"</f>
        <v>15 Feet</v>
      </c>
      <c r="H3" s="85" t="str">
        <f>1*(1+K3)&amp;" Hours"</f>
        <v>1 Hours</v>
      </c>
      <c r="J3" s="394">
        <v>500</v>
      </c>
      <c r="K3" s="80">
        <f>IF(ISERROR(C3*1),-1,C3+IF(LEFT(A3)="T",Bonuses!$BR$3,IF(LEFT(A3)="G",Bonuses!$BS$3,IF(LEFT(A3)="Q",Bonuses!$BT$3,IF(LEFT(A3)="S",Bonuses!$BU$3,IF(LEFT(A3)="R",Bonuses!$BV$3,0))))))+P3</f>
        <v>0</v>
      </c>
      <c r="L3" s="80">
        <v>1</v>
      </c>
      <c r="M3" s="75">
        <v>15</v>
      </c>
      <c r="N3" s="75">
        <v>3</v>
      </c>
      <c r="O3" s="380"/>
      <c r="P3" s="380"/>
      <c r="Q3" s="86">
        <f>MAX((MAX(Stats!$E$2,Ranking!$C$13)-15)*5,0)</f>
        <v>0</v>
      </c>
      <c r="R3" s="83">
        <v>300</v>
      </c>
    </row>
    <row r="4" spans="1:18" x14ac:dyDescent="0.2">
      <c r="A4" s="95" t="s">
        <v>242</v>
      </c>
      <c r="B4" s="79" t="s">
        <v>289</v>
      </c>
      <c r="C4" s="126">
        <v>0</v>
      </c>
      <c r="D4" s="125">
        <f>M4+O4+(K4*N4)+IF(OR(LEFT(A4)="G",LEFT(A4)="S"),Stats!$E$3-15+Bonuses!$BO$3,IF(OR(LEFT(A4)="Q",LEFT(A4)="R"),Bonuses!$BQ$3,Bonuses!$BP$3))</f>
        <v>20</v>
      </c>
      <c r="E4" s="125">
        <f t="shared" si="0"/>
        <v>3</v>
      </c>
      <c r="F4" s="125">
        <f t="shared" si="2"/>
        <v>1</v>
      </c>
      <c r="G4" s="84" t="str">
        <f>15*(1+K4)&amp;" Feet"</f>
        <v>15 Feet</v>
      </c>
      <c r="H4" s="85" t="str">
        <f>10*(1+K4)&amp;" Secs"</f>
        <v>10 Secs</v>
      </c>
      <c r="I4" s="185" t="str">
        <f>CONCATENATE("Mv 2 lbs @ 2 TMR +",K4*5," lbs/",K4*3," TMR.")</f>
        <v>Mv 2 lbs @ 2 TMR +0 lbs/0 TMR.</v>
      </c>
      <c r="J4" s="394">
        <v>300</v>
      </c>
      <c r="K4" s="80">
        <f>IF(ISERROR(C4*1),-1,C4+IF(LEFT(A4)="T",Bonuses!$BR$3,IF(LEFT(A4)="G",Bonuses!$BS$3,IF(LEFT(A4)="Q",Bonuses!$BT$3,IF(LEFT(A4)="S",Bonuses!$BU$3,IF(LEFT(A4)="R",Bonuses!$BV$3,0))))))+P4</f>
        <v>0</v>
      </c>
      <c r="L4" s="80">
        <v>1</v>
      </c>
      <c r="M4" s="75">
        <v>20</v>
      </c>
      <c r="N4" s="75">
        <v>3</v>
      </c>
      <c r="O4" s="380"/>
      <c r="P4" s="380"/>
      <c r="Q4" s="86">
        <f>MAX((MAX(Stats!$E$2,Ranking!$C$13)-15)*5,0)</f>
        <v>0</v>
      </c>
      <c r="R4" s="83">
        <v>300</v>
      </c>
    </row>
    <row r="5" spans="1:18" x14ac:dyDescent="0.2">
      <c r="A5" s="95" t="s">
        <v>243</v>
      </c>
      <c r="B5" s="79" t="s">
        <v>290</v>
      </c>
      <c r="C5" s="126">
        <v>0</v>
      </c>
      <c r="D5" s="125">
        <f>M5+O5+(K5*N5)+IF(OR(LEFT(A5)="G",LEFT(A5)="S"),Stats!$E$3-15+Bonuses!$BO$3,IF(OR(LEFT(A5)="Q",LEFT(A5)="R"),Bonuses!$BQ$3,Bonuses!$BP$3))</f>
        <v>15</v>
      </c>
      <c r="E5" s="125">
        <f t="shared" si="0"/>
        <v>2.25</v>
      </c>
      <c r="F5" s="125">
        <f t="shared" si="2"/>
        <v>0.75</v>
      </c>
      <c r="G5" s="84" t="str">
        <f>15*(1+K5)&amp;" Feet"</f>
        <v>15 Feet</v>
      </c>
      <c r="H5" s="85" t="str">
        <f>1*(1+K5)&amp;" Hours"</f>
        <v>1 Hours</v>
      </c>
      <c r="J5" s="394">
        <v>250</v>
      </c>
      <c r="K5" s="80">
        <f>IF(ISERROR(C5*1),-1,C5+IF(LEFT(A5)="T",Bonuses!$BR$3,IF(LEFT(A5)="G",Bonuses!$BS$3,IF(LEFT(A5)="Q",Bonuses!$BT$3,IF(LEFT(A5)="S",Bonuses!$BU$3,IF(LEFT(A5)="R",Bonuses!$BV$3,0))))))+P5</f>
        <v>0</v>
      </c>
      <c r="L5" s="80">
        <v>1</v>
      </c>
      <c r="M5" s="75">
        <v>15</v>
      </c>
      <c r="N5" s="75">
        <v>3</v>
      </c>
      <c r="O5" s="380"/>
      <c r="P5" s="380"/>
      <c r="Q5" s="86">
        <f>MAX((MAX(Stats!$E$2,Ranking!$C$13)-15)*5,0)</f>
        <v>0</v>
      </c>
      <c r="R5" s="83">
        <v>300</v>
      </c>
    </row>
    <row r="6" spans="1:18" x14ac:dyDescent="0.2">
      <c r="A6" s="95" t="s">
        <v>245</v>
      </c>
      <c r="B6" s="79" t="s">
        <v>291</v>
      </c>
      <c r="C6" s="126">
        <v>0</v>
      </c>
      <c r="D6" s="125">
        <f>M6+O6+(K6*N6)+IF(OR(LEFT(A6)="G",LEFT(A6)="S"),Stats!$E$3-15+Bonuses!$BO$3,IF(OR(LEFT(A6)="Q",LEFT(A6)="R"),Bonuses!$BQ$3,Bonuses!$BP$3))</f>
        <v>40</v>
      </c>
      <c r="E6" s="125">
        <f t="shared" si="0"/>
        <v>6</v>
      </c>
      <c r="F6" s="125">
        <f t="shared" si="2"/>
        <v>2</v>
      </c>
      <c r="G6" s="84" t="str">
        <f>1*(1+K6)&amp;" Feet"</f>
        <v>1 Feet</v>
      </c>
      <c r="H6" s="85" t="str">
        <f>1*(1+K6)&amp;" Hours"</f>
        <v>1 Hours</v>
      </c>
      <c r="J6" s="394">
        <v>100</v>
      </c>
      <c r="K6" s="80">
        <f>IF(ISERROR(C6*1),-1,C6+IF(LEFT(A6)="T",Bonuses!$BR$3,IF(LEFT(A6)="G",Bonuses!$BS$3,IF(LEFT(A6)="Q",Bonuses!$BT$3,IF(LEFT(A6)="S",Bonuses!$BU$3,IF(LEFT(A6)="R",Bonuses!$BV$3,0))))))+P6</f>
        <v>0</v>
      </c>
      <c r="L6" s="80">
        <v>1</v>
      </c>
      <c r="M6" s="75">
        <v>40</v>
      </c>
      <c r="N6" s="75">
        <v>3</v>
      </c>
      <c r="O6" s="380"/>
      <c r="P6" s="380"/>
      <c r="Q6" s="86">
        <f>MAX((MAX(Stats!$E$2,Ranking!$C$13)-15)*5,0)</f>
        <v>0</v>
      </c>
      <c r="R6" s="83">
        <v>300</v>
      </c>
    </row>
    <row r="7" spans="1:18" x14ac:dyDescent="0.2">
      <c r="A7" s="95" t="s">
        <v>246</v>
      </c>
      <c r="B7" s="79" t="s">
        <v>292</v>
      </c>
      <c r="C7" s="126">
        <v>0</v>
      </c>
      <c r="D7" s="125">
        <f>M7+O7+(K7*N7)+IF(OR(LEFT(A7)="G",LEFT(A7)="S"),Stats!$E$3-15+Bonuses!$BO$3,IF(OR(LEFT(A7)="Q",LEFT(A7)="R"),Bonuses!$BQ$3,Bonuses!$BP$3))</f>
        <v>40</v>
      </c>
      <c r="E7" s="125">
        <f t="shared" si="0"/>
        <v>6</v>
      </c>
      <c r="F7" s="125">
        <f t="shared" si="2"/>
        <v>2</v>
      </c>
      <c r="G7" s="84" t="str">
        <f>15*(1+K7)&amp;" Feet"</f>
        <v>15 Feet</v>
      </c>
      <c r="H7" s="85" t="str">
        <f>10*(1+K7)&amp;" Mins"</f>
        <v>10 Mins</v>
      </c>
      <c r="J7" s="394">
        <v>100</v>
      </c>
      <c r="K7" s="80">
        <f>IF(ISERROR(C7*1),-1,C7+IF(LEFT(A7)="T",Bonuses!$BR$3,IF(LEFT(A7)="G",Bonuses!$BS$3,IF(LEFT(A7)="Q",Bonuses!$BT$3,IF(LEFT(A7)="S",Bonuses!$BU$3,IF(LEFT(A7)="R",Bonuses!$BV$3,0))))))+P7</f>
        <v>0</v>
      </c>
      <c r="L7" s="80">
        <v>1</v>
      </c>
      <c r="M7" s="75">
        <v>40</v>
      </c>
      <c r="N7" s="75">
        <v>3</v>
      </c>
      <c r="O7" s="380"/>
      <c r="P7" s="380"/>
      <c r="Q7" s="86">
        <f>MAX((MAX(Stats!$E$2,Ranking!$C$13)-15)*5,0)</f>
        <v>0</v>
      </c>
      <c r="R7" s="83">
        <v>300</v>
      </c>
    </row>
    <row r="8" spans="1:18" x14ac:dyDescent="0.2">
      <c r="A8" s="95" t="s">
        <v>247</v>
      </c>
      <c r="B8" s="79" t="s">
        <v>293</v>
      </c>
      <c r="C8" s="126">
        <v>0</v>
      </c>
      <c r="D8" s="125">
        <f>M8+O8+(K8*N8)+IF(OR(LEFT(A8)="G",LEFT(A8)="S"),Stats!$E$3-15+Bonuses!$BO$3,IF(OR(LEFT(A8)="Q",LEFT(A8)="R"),Bonuses!$BQ$3,Bonuses!$BP$3))</f>
        <v>15</v>
      </c>
      <c r="E8" s="125">
        <f t="shared" si="0"/>
        <v>2.25</v>
      </c>
      <c r="F8" s="125">
        <f t="shared" si="2"/>
        <v>0.75</v>
      </c>
      <c r="G8" s="84" t="str">
        <f>5*(2+K8)&amp;" Miles"</f>
        <v>10 Miles</v>
      </c>
      <c r="H8" s="85" t="str">
        <f>1*(1+K8)&amp;" Hours"</f>
        <v>1 Hours</v>
      </c>
      <c r="J8" s="394">
        <v>200</v>
      </c>
      <c r="K8" s="80">
        <f>IF(ISERROR(C8*1),-1,C8+IF(LEFT(A8)="T",Bonuses!$BR$3,IF(LEFT(A8)="G",Bonuses!$BS$3,IF(LEFT(A8)="Q",Bonuses!$BT$3,IF(LEFT(A8)="S",Bonuses!$BU$3,IF(LEFT(A8)="R",Bonuses!$BV$3,0))))))+P8</f>
        <v>0</v>
      </c>
      <c r="L8" s="80">
        <v>1</v>
      </c>
      <c r="M8" s="75">
        <v>15</v>
      </c>
      <c r="N8" s="75">
        <v>3</v>
      </c>
      <c r="O8" s="380"/>
      <c r="P8" s="380"/>
      <c r="Q8" s="86">
        <f>MAX((MAX(Stats!$E$2,Ranking!$C$13)-15)*5,0)</f>
        <v>0</v>
      </c>
      <c r="R8" s="83">
        <v>300</v>
      </c>
    </row>
    <row r="9" spans="1:18" x14ac:dyDescent="0.2">
      <c r="A9" s="95" t="s">
        <v>248</v>
      </c>
      <c r="B9" s="79" t="s">
        <v>294</v>
      </c>
      <c r="C9" s="126">
        <v>0</v>
      </c>
      <c r="D9" s="125">
        <f>M9+O9+(K9*N9)+IF(OR(LEFT(A9)="G",LEFT(A9)="S"),Stats!$E$3-15+Bonuses!$BO$3,IF(OR(LEFT(A9)="Q",LEFT(A9)="R"),Bonuses!$BQ$3,Bonuses!$BP$3))</f>
        <v>5</v>
      </c>
      <c r="E9" s="125">
        <f t="shared" si="0"/>
        <v>0.75</v>
      </c>
      <c r="F9" s="125">
        <f t="shared" si="2"/>
        <v>0.25</v>
      </c>
      <c r="G9" s="84" t="str">
        <f>15*(1+K9)&amp;" Feet"</f>
        <v>15 Feet</v>
      </c>
      <c r="H9" s="84" t="s">
        <v>244</v>
      </c>
      <c r="I9" s="185" t="str">
        <f>CONCATENATE("Charms Up to ",MAX(K9,1)," Entities")</f>
        <v>Charms Up to 1 Entities</v>
      </c>
      <c r="J9" s="394">
        <v>850</v>
      </c>
      <c r="K9" s="80">
        <f>IF(ISERROR(C9*1),-1,C9+IF(LEFT(A9)="T",Bonuses!$BR$3,IF(LEFT(A9)="G",Bonuses!$BS$3,IF(LEFT(A9)="Q",Bonuses!$BT$3,IF(LEFT(A9)="S",Bonuses!$BU$3,IF(LEFT(A9)="R",Bonuses!$BV$3,0))))))+P9</f>
        <v>0</v>
      </c>
      <c r="L9" s="80">
        <v>1</v>
      </c>
      <c r="M9" s="75">
        <v>5</v>
      </c>
      <c r="N9" s="75">
        <v>3</v>
      </c>
      <c r="O9" s="380"/>
      <c r="P9" s="380"/>
      <c r="Q9" s="86">
        <f>MAX((MAX(Stats!$E$2,Ranking!$C$13)-15)*5,0)</f>
        <v>0</v>
      </c>
      <c r="R9" s="83">
        <v>300</v>
      </c>
    </row>
    <row r="10" spans="1:18" x14ac:dyDescent="0.2">
      <c r="A10" s="95" t="s">
        <v>249</v>
      </c>
      <c r="B10" s="79" t="s">
        <v>295</v>
      </c>
      <c r="C10" s="126">
        <v>0</v>
      </c>
      <c r="D10" s="125">
        <f>M10+O10+(K10*N10)+IF(OR(LEFT(A10)="G",LEFT(A10)="S"),Stats!$E$3-15+Bonuses!$BO$3,IF(OR(LEFT(A10)="Q",LEFT(A10)="R"),Bonuses!$BQ$3,Bonuses!$BP$3))</f>
        <v>45</v>
      </c>
      <c r="E10" s="125">
        <f t="shared" si="0"/>
        <v>6.75</v>
      </c>
      <c r="F10" s="125">
        <f t="shared" si="2"/>
        <v>2.25</v>
      </c>
      <c r="G10" s="84" t="str">
        <f>15*(1+K10)&amp;" Feet"</f>
        <v>15 Feet</v>
      </c>
      <c r="H10" s="85" t="str">
        <f>5*(1+K10)&amp;" Mins"</f>
        <v>5 Mins</v>
      </c>
      <c r="J10" s="394">
        <v>450</v>
      </c>
      <c r="K10" s="80">
        <f>IF(ISERROR(C10*1),-1,C10+IF(LEFT(A10)="T",Bonuses!$BR$3,IF(LEFT(A10)="G",Bonuses!$BS$3,IF(LEFT(A10)="Q",Bonuses!$BT$3,IF(LEFT(A10)="S",Bonuses!$BU$3,IF(LEFT(A10)="R",Bonuses!$BV$3,0))))))+P10</f>
        <v>0</v>
      </c>
      <c r="L10" s="80">
        <v>1</v>
      </c>
      <c r="M10" s="75">
        <v>45</v>
      </c>
      <c r="N10" s="75">
        <v>3</v>
      </c>
      <c r="O10" s="380"/>
      <c r="P10" s="380"/>
      <c r="Q10" s="86">
        <f>MAX((MAX(Stats!$E$2,Ranking!$C$13)-15)*5,0)</f>
        <v>0</v>
      </c>
      <c r="R10" s="83">
        <v>300</v>
      </c>
    </row>
    <row r="11" spans="1:18" x14ac:dyDescent="0.2">
      <c r="A11" s="95" t="s">
        <v>250</v>
      </c>
      <c r="B11" s="79" t="s">
        <v>296</v>
      </c>
      <c r="C11" s="126">
        <v>0</v>
      </c>
      <c r="D11" s="125">
        <f>M11+O11+(K11*N11)+IF(OR(LEFT(A11)="G",LEFT(A11)="S"),Stats!$E$3-15+Bonuses!$BO$3,IF(OR(LEFT(A11)="Q",LEFT(A11)="R"),Bonuses!$BQ$3,Bonuses!$BP$3))</f>
        <v>20</v>
      </c>
      <c r="E11" s="125">
        <f t="shared" si="0"/>
        <v>3</v>
      </c>
      <c r="F11" s="125">
        <f t="shared" si="2"/>
        <v>1</v>
      </c>
      <c r="G11" s="84" t="str">
        <f>15*(1+K11)&amp;" Feet"</f>
        <v>15 Feet</v>
      </c>
      <c r="H11" s="85" t="str">
        <f>1*(1+K11)&amp;" Days"</f>
        <v>1 Days</v>
      </c>
      <c r="I11" s="186" t="str">
        <f>CONCATENATE("-",MAX(K11,1)," from BC% &amp; SC%")</f>
        <v>-1 from BC% &amp; SC%</v>
      </c>
      <c r="J11" s="394">
        <v>300</v>
      </c>
      <c r="K11" s="80">
        <f>IF(ISERROR(C11*1),-1,C11+IF(LEFT(A11)="T",Bonuses!$BR$3,IF(LEFT(A11)="G",Bonuses!$BS$3,IF(LEFT(A11)="Q",Bonuses!$BT$3,IF(LEFT(A11)="S",Bonuses!$BU$3,IF(LEFT(A11)="R",Bonuses!$BV$3,0))))))+P11</f>
        <v>0</v>
      </c>
      <c r="L11" s="80">
        <v>1</v>
      </c>
      <c r="M11" s="75">
        <v>20</v>
      </c>
      <c r="N11" s="75">
        <v>3</v>
      </c>
      <c r="O11" s="380"/>
      <c r="P11" s="380"/>
      <c r="Q11" s="86">
        <f>MAX((MAX(Stats!$E$2,Ranking!$C$13)-15)*5,0)</f>
        <v>0</v>
      </c>
      <c r="R11" s="83">
        <v>300</v>
      </c>
    </row>
    <row r="12" spans="1:18" x14ac:dyDescent="0.2">
      <c r="A12" s="96" t="s">
        <v>268</v>
      </c>
      <c r="B12" s="87" t="s">
        <v>322</v>
      </c>
      <c r="C12" s="126">
        <v>0</v>
      </c>
      <c r="D12" s="125">
        <f>M12+O12+(K12*N12)+IF(OR(LEFT(A12)="G",LEFT(A12)="S"),Stats!$E$3-15+Bonuses!$BO$3,IF(OR(LEFT(A12)="Q",LEFT(A12)="R"),Bonuses!$BQ$3,Bonuses!$BP$3))</f>
        <v>40</v>
      </c>
      <c r="E12" s="125">
        <f t="shared" si="0"/>
        <v>6</v>
      </c>
      <c r="F12" s="125">
        <f t="shared" si="2"/>
        <v>2</v>
      </c>
      <c r="G12" s="84" t="str">
        <f>25+(25*K12)&amp;" Feet"</f>
        <v>25 Feet</v>
      </c>
      <c r="H12" s="88" t="str">
        <f>"D+"&amp;5+K12&amp;" Mins"</f>
        <v>D+5 Mins</v>
      </c>
      <c r="I12" s="90" t="str">
        <f>CONCATENATE("+",30 + (K12*3)," to MR.")</f>
        <v>+30 to MR.</v>
      </c>
      <c r="J12" s="395">
        <v>100</v>
      </c>
      <c r="K12" s="80">
        <f>IF(ISERROR(C12*1),-1,C12+IF(LEFT(A12)="T",Bonuses!$BR$3,IF(LEFT(A12)="G",Bonuses!$BS$3,IF(LEFT(A12)="Q",Bonuses!$BT$3,IF(LEFT(A12)="S",Bonuses!$BU$3,IF(LEFT(A12)="R",Bonuses!$BV$3,0))))))+P12</f>
        <v>0</v>
      </c>
      <c r="L12" s="80">
        <v>1</v>
      </c>
      <c r="M12" s="89">
        <v>40</v>
      </c>
      <c r="N12" s="75">
        <v>3</v>
      </c>
      <c r="O12" s="380"/>
      <c r="P12" s="380"/>
      <c r="Q12" s="86">
        <f>MAX((MAX(Stats!$E$2,Ranking!$C$13)-15)*5,0)</f>
        <v>0</v>
      </c>
      <c r="R12" s="83">
        <v>300</v>
      </c>
    </row>
    <row r="13" spans="1:18" x14ac:dyDescent="0.2">
      <c r="A13" s="96" t="s">
        <v>268</v>
      </c>
      <c r="B13" s="87" t="s">
        <v>323</v>
      </c>
      <c r="C13" s="126">
        <v>0</v>
      </c>
      <c r="D13" s="125">
        <f>M13+O13+(K13*N13)+IF(OR(LEFT(A13)="G",LEFT(A13)="S"),Stats!$E$3-15+Bonuses!$BO$3,IF(OR(LEFT(A13)="Q",LEFT(A13)="R"),Bonuses!$BQ$3,Bonuses!$BP$3))</f>
        <v>40</v>
      </c>
      <c r="E13" s="125">
        <f t="shared" si="0"/>
        <v>6</v>
      </c>
      <c r="F13" s="125">
        <f t="shared" si="2"/>
        <v>2</v>
      </c>
      <c r="G13" s="84" t="str">
        <f>25+(25*K13)&amp;" Feet"</f>
        <v>25 Feet</v>
      </c>
      <c r="H13" s="88" t="str">
        <f>"D+"&amp;5+K13&amp;" Mins"</f>
        <v>D+5 Mins</v>
      </c>
      <c r="I13" s="90" t="str">
        <f>CONCATENATE("+",30 + (K13*3)," to MR.")</f>
        <v>+30 to MR.</v>
      </c>
      <c r="J13" s="395">
        <v>200</v>
      </c>
      <c r="K13" s="80">
        <f>IF(ISERROR(C13*1),-1,C13+IF(LEFT(A13)="T",Bonuses!$BR$3,IF(LEFT(A13)="G",Bonuses!$BS$3,IF(LEFT(A13)="Q",Bonuses!$BT$3,IF(LEFT(A13)="S",Bonuses!$BU$3,IF(LEFT(A13)="R",Bonuses!$BV$3,0))))))+P13</f>
        <v>0</v>
      </c>
      <c r="L13" s="80">
        <v>1</v>
      </c>
      <c r="M13" s="89">
        <v>40</v>
      </c>
      <c r="N13" s="75">
        <v>3</v>
      </c>
      <c r="O13" s="380"/>
      <c r="P13" s="380"/>
      <c r="Q13" s="86">
        <f>MAX((MAX(Stats!$E$2,Ranking!$C$13)-15)*5,0)</f>
        <v>0</v>
      </c>
      <c r="R13" s="83">
        <v>300</v>
      </c>
    </row>
    <row r="14" spans="1:18" x14ac:dyDescent="0.2">
      <c r="A14" s="95" t="s">
        <v>251</v>
      </c>
      <c r="B14" s="79" t="s">
        <v>126</v>
      </c>
      <c r="C14" s="126">
        <v>0</v>
      </c>
      <c r="D14" s="125">
        <f>M14+O14+(K14*N14)+IF(OR(LEFT(A14)="G",LEFT(A14)="S"),Stats!$E$3-15+Bonuses!$BO$3,IF(OR(LEFT(A14)="Q",LEFT(A14)="R"),Bonuses!$BQ$3,Bonuses!$BP$3))</f>
        <v>80</v>
      </c>
      <c r="E14" s="125">
        <f t="shared" si="0"/>
        <v>12</v>
      </c>
      <c r="F14" s="125">
        <f t="shared" si="2"/>
        <v>4</v>
      </c>
      <c r="G14" s="84"/>
      <c r="H14" s="85" t="s">
        <v>297</v>
      </c>
      <c r="I14" s="186" t="str">
        <f>CONCATENATE("+",1 + K14,"%  5 targets +",TRUNC(K14/4,0)," days/targets.")</f>
        <v>+1%  5 targets +0 days/targets.</v>
      </c>
      <c r="J14" s="394">
        <v>125</v>
      </c>
      <c r="K14" s="80">
        <f>IF(ISERROR(C14*1),-1,C14+IF(LEFT(A14)="T",Bonuses!$BR$3,IF(LEFT(A14)="G",Bonuses!$BS$3,IF(LEFT(A14)="Q",Bonuses!$BT$3,IF(LEFT(A14)="S",Bonuses!$BU$3,IF(LEFT(A14)="R",Bonuses!$BV$3,0))))))+P14</f>
        <v>0</v>
      </c>
      <c r="L14" s="80">
        <v>7</v>
      </c>
      <c r="M14" s="75">
        <v>80</v>
      </c>
      <c r="N14" s="75">
        <v>1</v>
      </c>
      <c r="O14" s="380"/>
      <c r="P14" s="380"/>
      <c r="Q14" s="86">
        <f>MAX((MAX(Stats!$E$2,Ranking!$C$13)-15)*5,0)</f>
        <v>0</v>
      </c>
      <c r="R14" s="83">
        <v>300</v>
      </c>
    </row>
    <row r="15" spans="1:18" x14ac:dyDescent="0.2">
      <c r="A15" s="96" t="s">
        <v>298</v>
      </c>
      <c r="B15" s="87" t="s">
        <v>301</v>
      </c>
      <c r="C15" s="126">
        <v>0</v>
      </c>
      <c r="D15" s="125">
        <f>M15+O15+(K15*N15)+IF(OR(LEFT(A15)="G",LEFT(A15)="S"),Stats!$E$3-15+Bonuses!$BO$3,IF(OR(LEFT(A15)="Q",LEFT(A15)="R"),Bonuses!$BQ$3,Bonuses!$BP$3))</f>
        <v>75</v>
      </c>
      <c r="E15" s="125">
        <f t="shared" si="0"/>
        <v>11.25</v>
      </c>
      <c r="F15" s="125">
        <f t="shared" si="1"/>
        <v>3.75</v>
      </c>
      <c r="G15" s="84"/>
      <c r="H15" s="88"/>
      <c r="I15" s="84" t="str">
        <f>"1 Hr 1,000sp. "&amp;10+K15&amp;" min dur. "&amp;5+(15*K15)&amp;" miles range"</f>
        <v>1 Hr 1,000sp. 10 min dur. 5 miles range</v>
      </c>
      <c r="J15" s="395">
        <v>200</v>
      </c>
      <c r="K15" s="80">
        <f>IF(ISERROR(C15*1),-1,C15+IF(LEFT(A15)="T",Bonuses!$BR$3,IF(LEFT(A15)="G",Bonuses!$BS$3,IF(LEFT(A15)="Q",Bonuses!$BT$3,IF(LEFT(A15)="S",Bonuses!$BU$3,IF(LEFT(A15)="R",Bonuses!$BV$3,0))))))+P15</f>
        <v>0</v>
      </c>
      <c r="L15" s="80">
        <v>7</v>
      </c>
      <c r="M15" s="89">
        <v>75</v>
      </c>
      <c r="N15" s="75">
        <v>1</v>
      </c>
      <c r="O15" s="380"/>
      <c r="P15" s="380"/>
      <c r="Q15" s="86">
        <f>MAX((MAX(Stats!$E$2,Ranking!$C$13)-15)*5,0)</f>
        <v>0</v>
      </c>
      <c r="R15" s="83">
        <v>300</v>
      </c>
    </row>
    <row r="16" spans="1:18" x14ac:dyDescent="0.2">
      <c r="A16" s="95" t="s">
        <v>299</v>
      </c>
      <c r="B16" s="79" t="s">
        <v>302</v>
      </c>
      <c r="C16" s="126">
        <v>0</v>
      </c>
      <c r="D16" s="125">
        <f>M16+O16+(K16*N16)+IF(OR(LEFT(A16)="G",LEFT(A16)="S"),Stats!$E$3-15+Bonuses!$BO$3,IF(OR(LEFT(A16)="Q",LEFT(A16)="R"),Bonuses!$BQ$3,Bonuses!$BP$3))</f>
        <v>80</v>
      </c>
      <c r="E16" s="125">
        <f t="shared" si="0"/>
        <v>12</v>
      </c>
      <c r="F16" s="125">
        <f>D16*0.05</f>
        <v>4</v>
      </c>
      <c r="G16" s="84"/>
      <c r="H16" s="85"/>
      <c r="I16" s="94" t="str">
        <f>"3 Hrs, "&amp;TEXT(10000-500*K16,"#,###")&amp;"sp Sleep -20MR"</f>
        <v>3 Hrs, 10,000sp Sleep -20MR</v>
      </c>
      <c r="J16" s="394">
        <v>250</v>
      </c>
      <c r="K16" s="80">
        <f>IF(ISERROR(C16*1),-1,C16+IF(LEFT(A16)="T",Bonuses!$BR$3,IF(LEFT(A16)="G",Bonuses!$BS$3,IF(LEFT(A16)="Q",Bonuses!$BT$3,IF(LEFT(A16)="S",Bonuses!$BU$3,IF(LEFT(A16)="R",Bonuses!$BV$3,0))))))+P16</f>
        <v>0</v>
      </c>
      <c r="L16" s="80">
        <v>7</v>
      </c>
      <c r="M16" s="75">
        <v>80</v>
      </c>
      <c r="N16" s="75">
        <v>1</v>
      </c>
      <c r="O16" s="380"/>
      <c r="P16" s="380"/>
      <c r="Q16" s="86">
        <f>MAX((MAX(Stats!$E$2,Ranking!$C$13)-15)*5,0)</f>
        <v>0</v>
      </c>
      <c r="R16" s="83">
        <v>300</v>
      </c>
    </row>
    <row r="17" spans="1:19" x14ac:dyDescent="0.2">
      <c r="A17" s="95" t="s">
        <v>300</v>
      </c>
      <c r="B17" s="79" t="s">
        <v>303</v>
      </c>
      <c r="C17" s="126">
        <v>0</v>
      </c>
      <c r="D17" s="125">
        <f>M17+O17+(K17*N17)+IF(OR(LEFT(A17)="G",LEFT(A17)="S"),Stats!$E$3-15+Bonuses!$BO$3,IF(OR(LEFT(A17)="Q",LEFT(A17)="R"),Bonuses!$BQ$3,Bonuses!$BP$3))</f>
        <v>80</v>
      </c>
      <c r="E17" s="125">
        <f t="shared" si="0"/>
        <v>12</v>
      </c>
      <c r="F17" s="125">
        <f t="shared" si="1"/>
        <v>4</v>
      </c>
      <c r="G17" s="84"/>
      <c r="H17" s="85"/>
      <c r="I17" s="94" t="str">
        <f>"3 Hrs, "&amp;TEXT(10000-500*K17,"#,###")&amp;"sp D+"&amp;ROUND(K17/2,0)-5&amp;" -20MR"</f>
        <v>3 Hrs, 10,000sp D+-5 -20MR</v>
      </c>
      <c r="J17" s="394">
        <v>250</v>
      </c>
      <c r="K17" s="80">
        <f>IF(ISERROR(C17*1),-1,C17+IF(LEFT(A17)="T",Bonuses!$BR$3,IF(LEFT(A17)="G",Bonuses!$BS$3,IF(LEFT(A17)="Q",Bonuses!$BT$3,IF(LEFT(A17)="S",Bonuses!$BU$3,IF(LEFT(A17)="R",Bonuses!$BV$3,0))))))+P17</f>
        <v>0</v>
      </c>
      <c r="L17" s="80">
        <v>7</v>
      </c>
      <c r="M17" s="75">
        <v>80</v>
      </c>
      <c r="N17" s="75">
        <v>1</v>
      </c>
      <c r="O17" s="380"/>
      <c r="P17" s="380"/>
      <c r="Q17" s="86">
        <f>MAX((MAX(Stats!$E$2,Ranking!$C$13)-15)*5,0)</f>
        <v>0</v>
      </c>
      <c r="R17" s="83">
        <v>300</v>
      </c>
    </row>
    <row r="18" spans="1:19" s="92" customFormat="1" x14ac:dyDescent="0.2">
      <c r="A18" s="96" t="s">
        <v>267</v>
      </c>
      <c r="B18" s="87" t="s">
        <v>252</v>
      </c>
      <c r="C18" s="126">
        <v>0</v>
      </c>
      <c r="D18" s="125">
        <f>M18+O18+(K18*N18)+IF(OR(LEFT(A18)="G",LEFT(A18)="S"),Stats!$E$3-15+Bonuses!$BO$3,IF(OR(LEFT(A18)="Q",LEFT(A18)="R"),Bonuses!$BQ$3,Bonuses!$BP$3))</f>
        <v>30</v>
      </c>
      <c r="E18" s="125">
        <f t="shared" si="0"/>
        <v>4.5</v>
      </c>
      <c r="F18" s="125">
        <f>D18*0.05</f>
        <v>1.5</v>
      </c>
      <c r="G18" s="81"/>
      <c r="H18" s="88" t="str">
        <f>4+(4*K18)&amp;" Hours"</f>
        <v>4 Hours</v>
      </c>
      <c r="I18" s="90" t="str">
        <f>CONCATENATE("+ ",K18," MR. +",TRUNC(K18/5)," MA.")</f>
        <v>+ 0 MR. +0 MA.</v>
      </c>
      <c r="J18" s="395">
        <v>200</v>
      </c>
      <c r="K18" s="80">
        <f>IF(ISERROR(C18*1),-1,C18+IF(LEFT(A18)="T",Bonuses!$BR$3,IF(LEFT(A18)="G",Bonuses!$BS$3,IF(LEFT(A18)="Q",Bonuses!$BT$3,IF(LEFT(A18)="S",Bonuses!$BU$3,IF(LEFT(A18)="R",Bonuses!$BV$3,0))))))+P18</f>
        <v>0</v>
      </c>
      <c r="L18" s="84">
        <v>7</v>
      </c>
      <c r="M18" s="89">
        <f>Stats!$E$3+Stats!$F$3</f>
        <v>30</v>
      </c>
      <c r="N18" s="75">
        <v>3</v>
      </c>
      <c r="O18" s="380"/>
      <c r="P18" s="380"/>
      <c r="Q18" s="86">
        <f>MAX((MAX(Stats!$E$2,Ranking!$C$13)-15)*5,0)</f>
        <v>0</v>
      </c>
      <c r="R18" s="91">
        <v>300</v>
      </c>
      <c r="S18" s="84"/>
    </row>
    <row r="19" spans="1:19" x14ac:dyDescent="0.2">
      <c r="A19" s="95" t="s">
        <v>253</v>
      </c>
      <c r="B19" s="79" t="s">
        <v>304</v>
      </c>
      <c r="C19" s="126" t="s">
        <v>283</v>
      </c>
      <c r="D19" s="125">
        <f>M19+O19+(K19*N19)+IF(OR(LEFT(A19)="G",LEFT(A19)="S"),Stats!$E$3-15+Bonuses!$BO$3,IF(OR(LEFT(A19)="Q",LEFT(A19)="R"),Bonuses!$BQ$3,Bonuses!$BP$3))</f>
        <v>57</v>
      </c>
      <c r="E19" s="125">
        <f t="shared" si="0"/>
        <v>8.5499999999999989</v>
      </c>
      <c r="F19" s="125">
        <f t="shared" si="1"/>
        <v>2.85</v>
      </c>
      <c r="G19" s="84" t="s">
        <v>316</v>
      </c>
      <c r="H19" s="85" t="str">
        <f>5+(3*K19)&amp;" Mins"</f>
        <v>2 Mins</v>
      </c>
      <c r="J19" s="394">
        <v>100</v>
      </c>
      <c r="K19" s="80">
        <f>IF(ISERROR(C19*1),-1,C19+IF(LEFT(A19)="T",Bonuses!$BR$3,IF(LEFT(A19)="G",Bonuses!$BS$3,IF(LEFT(A19)="Q",Bonuses!$BT$3,IF(LEFT(A19)="S",Bonuses!$BU$3,IF(LEFT(A19)="R",Bonuses!$BV$3,0))))))+P19</f>
        <v>-1</v>
      </c>
      <c r="L19" s="80">
        <v>1</v>
      </c>
      <c r="M19" s="75">
        <v>60</v>
      </c>
      <c r="N19" s="75">
        <v>3</v>
      </c>
      <c r="O19" s="380"/>
      <c r="P19" s="380"/>
      <c r="R19" s="83">
        <v>500</v>
      </c>
    </row>
    <row r="20" spans="1:19" x14ac:dyDescent="0.2">
      <c r="A20" s="95" t="s">
        <v>254</v>
      </c>
      <c r="B20" s="79" t="s">
        <v>305</v>
      </c>
      <c r="C20" s="126" t="s">
        <v>283</v>
      </c>
      <c r="D20" s="125">
        <f>M20+O20+(K20*N20)+IF(OR(LEFT(A20)="G",LEFT(A20)="S"),Stats!$E$3-15+Bonuses!$BO$3,IF(OR(LEFT(A20)="Q",LEFT(A20)="R"),Bonuses!$BQ$3,Bonuses!$BP$3))</f>
        <v>47</v>
      </c>
      <c r="E20" s="125">
        <f t="shared" si="0"/>
        <v>7.05</v>
      </c>
      <c r="F20" s="125">
        <f t="shared" si="1"/>
        <v>2.35</v>
      </c>
      <c r="G20" s="84" t="str">
        <f t="shared" ref="G20:G30" si="3">15*(1+K20)&amp;" Feet"</f>
        <v>0 Feet</v>
      </c>
      <c r="H20" s="85" t="s">
        <v>240</v>
      </c>
      <c r="I20" s="94" t="str">
        <f>CONCATENATE("D-5 + ",K20," Dam.  Res: 0.")</f>
        <v>D-5 + -1 Dam.  Res: 0.</v>
      </c>
      <c r="J20" s="394">
        <v>200</v>
      </c>
      <c r="K20" s="80">
        <f>IF(ISERROR(C20*1),-1,C20+IF(LEFT(A20)="T",Bonuses!$BR$3,IF(LEFT(A20)="G",Bonuses!$BS$3,IF(LEFT(A20)="Q",Bonuses!$BT$3,IF(LEFT(A20)="S",Bonuses!$BU$3,IF(LEFT(A20)="R",Bonuses!$BV$3,0))))))+P20</f>
        <v>-1</v>
      </c>
      <c r="L20" s="80">
        <v>1</v>
      </c>
      <c r="M20" s="75">
        <v>50</v>
      </c>
      <c r="N20" s="75">
        <v>3</v>
      </c>
      <c r="O20" s="380"/>
      <c r="P20" s="380"/>
      <c r="R20" s="83">
        <v>3000</v>
      </c>
    </row>
    <row r="21" spans="1:19" x14ac:dyDescent="0.2">
      <c r="A21" s="95" t="s">
        <v>255</v>
      </c>
      <c r="B21" s="79" t="s">
        <v>306</v>
      </c>
      <c r="C21" s="126" t="s">
        <v>283</v>
      </c>
      <c r="D21" s="125">
        <f>M21+O21+(K21*N21)+IF(OR(LEFT(A21)="G",LEFT(A21)="S"),Stats!$E$3-15+Bonuses!$BO$3,IF(OR(LEFT(A21)="Q",LEFT(A21)="R"),Bonuses!$BQ$3,Bonuses!$BP$3))</f>
        <v>27</v>
      </c>
      <c r="E21" s="125">
        <f t="shared" si="0"/>
        <v>4.05</v>
      </c>
      <c r="F21" s="125">
        <f t="shared" si="1"/>
        <v>1.35</v>
      </c>
      <c r="G21" s="84" t="str">
        <f t="shared" si="3"/>
        <v>0 Feet</v>
      </c>
      <c r="H21" s="85" t="s">
        <v>240</v>
      </c>
      <c r="J21" s="394">
        <v>150</v>
      </c>
      <c r="K21" s="80">
        <f>IF(ISERROR(C21*1),-1,C21+IF(LEFT(A21)="T",Bonuses!$BR$3,IF(LEFT(A21)="G",Bonuses!$BS$3,IF(LEFT(A21)="Q",Bonuses!$BT$3,IF(LEFT(A21)="S",Bonuses!$BU$3,IF(LEFT(A21)="R",Bonuses!$BV$3,0))))))+P21</f>
        <v>-1</v>
      </c>
      <c r="L21" s="80">
        <v>1</v>
      </c>
      <c r="M21" s="75">
        <v>30</v>
      </c>
      <c r="N21" s="75">
        <v>3</v>
      </c>
      <c r="O21" s="380"/>
      <c r="P21" s="380"/>
      <c r="R21" s="83">
        <v>3000</v>
      </c>
    </row>
    <row r="22" spans="1:19" x14ac:dyDescent="0.2">
      <c r="A22" s="95" t="s">
        <v>256</v>
      </c>
      <c r="B22" s="79" t="s">
        <v>307</v>
      </c>
      <c r="C22" s="126" t="s">
        <v>283</v>
      </c>
      <c r="D22" s="125">
        <f>M22+O22+(K22*N22)+IF(OR(LEFT(A22)="G",LEFT(A22)="S"),Stats!$E$3-15+Bonuses!$BO$3,IF(OR(LEFT(A22)="Q",LEFT(A22)="R"),Bonuses!$BQ$3,Bonuses!$BP$3))</f>
        <v>27</v>
      </c>
      <c r="E22" s="125">
        <f t="shared" si="0"/>
        <v>4.05</v>
      </c>
      <c r="F22" s="125">
        <f t="shared" si="1"/>
        <v>1.35</v>
      </c>
      <c r="G22" s="84" t="str">
        <f>5*(1+K22)&amp;" Feet"</f>
        <v>0 Feet</v>
      </c>
      <c r="H22" s="85" t="str">
        <f>1*(5+K22)&amp;" Mins"</f>
        <v>4 Mins</v>
      </c>
      <c r="I22" s="94" t="str">
        <f>CONCATENATE("+",1+K22," BC%, +",CEILING(K22/3,1)," Dam.")</f>
        <v>+0 BC%, +0 Dam.</v>
      </c>
      <c r="J22" s="394">
        <v>250</v>
      </c>
      <c r="K22" s="80">
        <f>IF(ISERROR(C22*1),-1,C22+IF(LEFT(A22)="T",Bonuses!$BR$3,IF(LEFT(A22)="G",Bonuses!$BS$3,IF(LEFT(A22)="Q",Bonuses!$BT$3,IF(LEFT(A22)="S",Bonuses!$BU$3,IF(LEFT(A22)="R",Bonuses!$BV$3,0))))))+P22</f>
        <v>-1</v>
      </c>
      <c r="L22" s="80">
        <v>1</v>
      </c>
      <c r="M22" s="75">
        <v>30</v>
      </c>
      <c r="N22" s="75">
        <v>3</v>
      </c>
      <c r="O22" s="380"/>
      <c r="P22" s="380"/>
      <c r="R22" s="83">
        <v>3000</v>
      </c>
    </row>
    <row r="23" spans="1:19" x14ac:dyDescent="0.2">
      <c r="A23" s="95" t="s">
        <v>257</v>
      </c>
      <c r="B23" s="79" t="s">
        <v>308</v>
      </c>
      <c r="C23" s="126" t="s">
        <v>283</v>
      </c>
      <c r="D23" s="125">
        <f>M23+O23+(K23*N23)+IF(OR(LEFT(A23)="G",LEFT(A23)="S"),Stats!$E$3-15+Bonuses!$BO$3,IF(OR(LEFT(A23)="Q",LEFT(A23)="R"),Bonuses!$BQ$3,Bonuses!$BP$3))</f>
        <v>32</v>
      </c>
      <c r="E23" s="125">
        <f t="shared" si="0"/>
        <v>4.8</v>
      </c>
      <c r="F23" s="125">
        <f t="shared" si="1"/>
        <v>1.6</v>
      </c>
      <c r="G23" s="84" t="str">
        <f t="shared" si="3"/>
        <v>0 Feet</v>
      </c>
      <c r="H23" s="85" t="str">
        <f>15*(1+K23)&amp;" C. Mins"</f>
        <v>0 C. Mins</v>
      </c>
      <c r="J23" s="394">
        <v>150</v>
      </c>
      <c r="K23" s="80">
        <f>IF(ISERROR(C23*1),-1,C23+IF(LEFT(A23)="T",Bonuses!$BR$3,IF(LEFT(A23)="G",Bonuses!$BS$3,IF(LEFT(A23)="Q",Bonuses!$BT$3,IF(LEFT(A23)="S",Bonuses!$BU$3,IF(LEFT(A23)="R",Bonuses!$BV$3,0))))))+P23</f>
        <v>-1</v>
      </c>
      <c r="L23" s="80">
        <v>1</v>
      </c>
      <c r="M23" s="75">
        <v>35</v>
      </c>
      <c r="N23" s="75">
        <v>3</v>
      </c>
      <c r="O23" s="380"/>
      <c r="P23" s="380"/>
      <c r="R23" s="83">
        <v>2000</v>
      </c>
    </row>
    <row r="24" spans="1:19" x14ac:dyDescent="0.2">
      <c r="A24" s="95" t="s">
        <v>258</v>
      </c>
      <c r="B24" s="79" t="s">
        <v>309</v>
      </c>
      <c r="C24" s="126" t="s">
        <v>283</v>
      </c>
      <c r="D24" s="125">
        <f>M24+O24+(K24*N24)+IF(OR(LEFT(A24)="G",LEFT(A24)="S"),Stats!$E$3-15+Bonuses!$BO$3,IF(OR(LEFT(A24)="Q",LEFT(A24)="R"),Bonuses!$BQ$3,Bonuses!$BP$3))</f>
        <v>27</v>
      </c>
      <c r="E24" s="125">
        <f t="shared" si="0"/>
        <v>4.05</v>
      </c>
      <c r="F24" s="125">
        <f t="shared" si="1"/>
        <v>1.35</v>
      </c>
      <c r="G24" s="84" t="str">
        <f t="shared" si="3"/>
        <v>0 Feet</v>
      </c>
      <c r="H24" s="85" t="str">
        <f>1*(1+K24)&amp;" Hours"</f>
        <v>0 Hours</v>
      </c>
      <c r="J24" s="394">
        <v>150</v>
      </c>
      <c r="K24" s="80">
        <f>IF(ISERROR(C24*1),-1,C24+IF(LEFT(A24)="T",Bonuses!$BR$3,IF(LEFT(A24)="G",Bonuses!$BS$3,IF(LEFT(A24)="Q",Bonuses!$BT$3,IF(LEFT(A24)="S",Bonuses!$BU$3,IF(LEFT(A24)="R",Bonuses!$BV$3,0))))))+P24</f>
        <v>-1</v>
      </c>
      <c r="L24" s="80">
        <v>1</v>
      </c>
      <c r="M24" s="75">
        <v>30</v>
      </c>
      <c r="N24" s="75">
        <v>3</v>
      </c>
      <c r="O24" s="380"/>
      <c r="P24" s="380"/>
      <c r="R24" s="83">
        <v>2000</v>
      </c>
    </row>
    <row r="25" spans="1:19" x14ac:dyDescent="0.2">
      <c r="A25" s="95" t="s">
        <v>259</v>
      </c>
      <c r="B25" s="79" t="s">
        <v>310</v>
      </c>
      <c r="C25" s="126" t="s">
        <v>283</v>
      </c>
      <c r="D25" s="125">
        <f>M25+O25+(K25*N25)+IF(OR(LEFT(A25)="G",LEFT(A25)="S"),Stats!$E$3-15+Bonuses!$BO$3,IF(OR(LEFT(A25)="Q",LEFT(A25)="R"),Bonuses!$BQ$3,Bonuses!$BP$3))</f>
        <v>22</v>
      </c>
      <c r="E25" s="125">
        <f t="shared" si="0"/>
        <v>3.3</v>
      </c>
      <c r="F25" s="125">
        <f t="shared" si="1"/>
        <v>1.1000000000000001</v>
      </c>
      <c r="G25" s="84" t="str">
        <f t="shared" si="3"/>
        <v>0 Feet</v>
      </c>
      <c r="H25" s="85" t="str">
        <f>10+(5*K25)&amp;" Secs"</f>
        <v>5 Secs</v>
      </c>
      <c r="J25" s="394">
        <v>300</v>
      </c>
      <c r="K25" s="80">
        <f>IF(ISERROR(C25*1),-1,C25+IF(LEFT(A25)="T",Bonuses!$BR$3,IF(LEFT(A25)="G",Bonuses!$BS$3,IF(LEFT(A25)="Q",Bonuses!$BT$3,IF(LEFT(A25)="S",Bonuses!$BU$3,IF(LEFT(A25)="R",Bonuses!$BV$3,0))))))+P25</f>
        <v>-1</v>
      </c>
      <c r="L25" s="80">
        <v>1</v>
      </c>
      <c r="M25" s="75">
        <v>25</v>
      </c>
      <c r="N25" s="75">
        <v>3</v>
      </c>
      <c r="O25" s="380"/>
      <c r="P25" s="380"/>
      <c r="R25" s="83">
        <v>20000</v>
      </c>
    </row>
    <row r="26" spans="1:19" x14ac:dyDescent="0.2">
      <c r="A26" s="95" t="s">
        <v>260</v>
      </c>
      <c r="B26" s="79" t="s">
        <v>311</v>
      </c>
      <c r="C26" s="126" t="s">
        <v>283</v>
      </c>
      <c r="D26" s="125">
        <f>M26+O26+(K26*N26)+IF(OR(LEFT(A26)="G",LEFT(A26)="S"),Stats!$E$3-15+Bonuses!$BO$3,IF(OR(LEFT(A26)="Q",LEFT(A26)="R"),Bonuses!$BQ$3,Bonuses!$BP$3))</f>
        <v>22</v>
      </c>
      <c r="E26" s="125">
        <f t="shared" si="0"/>
        <v>3.3</v>
      </c>
      <c r="F26" s="125">
        <f t="shared" si="1"/>
        <v>1.1000000000000001</v>
      </c>
      <c r="G26" s="84" t="str">
        <f>5*(1+K26)&amp;" Feet"</f>
        <v>0 Feet</v>
      </c>
      <c r="H26" s="85" t="str">
        <f>"D-5 * "&amp;10*K26&amp;" Mins"</f>
        <v>D-5 * -10 Mins</v>
      </c>
      <c r="J26" s="394">
        <v>125</v>
      </c>
      <c r="K26" s="80">
        <f>IF(ISERROR(C26*1),-1,C26+IF(LEFT(A26)="T",Bonuses!$BR$3,IF(LEFT(A26)="G",Bonuses!$BS$3,IF(LEFT(A26)="Q",Bonuses!$BT$3,IF(LEFT(A26)="S",Bonuses!$BU$3,IF(LEFT(A26)="R",Bonuses!$BV$3,0))))))+P26</f>
        <v>-1</v>
      </c>
      <c r="L26" s="80">
        <v>1</v>
      </c>
      <c r="M26" s="75">
        <v>25</v>
      </c>
      <c r="N26" s="75">
        <v>3</v>
      </c>
      <c r="O26" s="380"/>
      <c r="P26" s="380"/>
      <c r="R26" s="83">
        <v>2000</v>
      </c>
    </row>
    <row r="27" spans="1:19" x14ac:dyDescent="0.2">
      <c r="A27" s="95" t="s">
        <v>261</v>
      </c>
      <c r="B27" s="79" t="s">
        <v>312</v>
      </c>
      <c r="C27" s="126" t="s">
        <v>283</v>
      </c>
      <c r="D27" s="125">
        <f>M27+O27+(K27*N27)+IF(OR(LEFT(A27)="G",LEFT(A27)="S"),Stats!$E$3-15+Bonuses!$BO$3,IF(OR(LEFT(A27)="Q",LEFT(A27)="R"),Bonuses!$BQ$3,Bonuses!$BP$3))</f>
        <v>17</v>
      </c>
      <c r="E27" s="125">
        <f t="shared" si="0"/>
        <v>2.5499999999999998</v>
      </c>
      <c r="F27" s="125">
        <f t="shared" si="1"/>
        <v>0.85000000000000009</v>
      </c>
      <c r="G27" s="84" t="str">
        <f t="shared" si="3"/>
        <v>0 Feet</v>
      </c>
      <c r="H27" s="85" t="str">
        <f>ROUND(1/2*(1+K27),1)&amp;" Hours"</f>
        <v>0 Hours</v>
      </c>
      <c r="I27" s="94" t="str">
        <f>(1+K27)*2&amp;"% Defence"&amp;IF(K27&gt;10," +1 AP","")</f>
        <v>0% Defence</v>
      </c>
      <c r="J27" s="394">
        <v>200</v>
      </c>
      <c r="K27" s="80">
        <f>IF(ISERROR(C27*1),-1,C27+IF(LEFT(A27)="T",Bonuses!$BR$3,IF(LEFT(A27)="G",Bonuses!$BS$3,IF(LEFT(A27)="Q",Bonuses!$BT$3,IF(LEFT(A27)="S",Bonuses!$BU$3,IF(LEFT(A27)="R",Bonuses!$BV$3,0))))))+P27</f>
        <v>-1</v>
      </c>
      <c r="L27" s="80">
        <v>1</v>
      </c>
      <c r="M27" s="75">
        <v>20</v>
      </c>
      <c r="N27" s="75">
        <v>3</v>
      </c>
      <c r="O27" s="380"/>
      <c r="P27" s="380"/>
      <c r="R27" s="83">
        <v>5000</v>
      </c>
    </row>
    <row r="28" spans="1:19" x14ac:dyDescent="0.2">
      <c r="A28" s="95" t="s">
        <v>262</v>
      </c>
      <c r="B28" s="79" t="s">
        <v>313</v>
      </c>
      <c r="C28" s="126" t="s">
        <v>283</v>
      </c>
      <c r="D28" s="125">
        <f>M28+O28+(K28*N28)+IF(OR(LEFT(A28)="G",LEFT(A28)="S"),Stats!$E$3-15+Bonuses!$BO$3,IF(OR(LEFT(A28)="Q",LEFT(A28)="R"),Bonuses!$BQ$3,Bonuses!$BP$3))</f>
        <v>17</v>
      </c>
      <c r="E28" s="125">
        <f t="shared" si="0"/>
        <v>2.5499999999999998</v>
      </c>
      <c r="F28" s="125">
        <f t="shared" si="1"/>
        <v>0.85000000000000009</v>
      </c>
      <c r="G28" s="84" t="str">
        <f t="shared" si="3"/>
        <v>0 Feet</v>
      </c>
      <c r="H28" s="85" t="str">
        <f>1*(1+K28)&amp;" Mins"</f>
        <v>0 Mins</v>
      </c>
      <c r="J28" s="394">
        <v>200</v>
      </c>
      <c r="K28" s="80">
        <f>IF(ISERROR(C28*1),-1,C28+IF(LEFT(A28)="T",Bonuses!$BR$3,IF(LEFT(A28)="G",Bonuses!$BS$3,IF(LEFT(A28)="Q",Bonuses!$BT$3,IF(LEFT(A28)="S",Bonuses!$BU$3,IF(LEFT(A28)="R",Bonuses!$BV$3,0))))))+P28</f>
        <v>-1</v>
      </c>
      <c r="L28" s="80">
        <v>1</v>
      </c>
      <c r="M28" s="75">
        <v>20</v>
      </c>
      <c r="N28" s="75">
        <v>3</v>
      </c>
      <c r="O28" s="380"/>
      <c r="P28" s="380"/>
      <c r="R28" s="83">
        <v>15000</v>
      </c>
    </row>
    <row r="29" spans="1:19" x14ac:dyDescent="0.2">
      <c r="A29" s="95" t="s">
        <v>263</v>
      </c>
      <c r="B29" s="79" t="s">
        <v>314</v>
      </c>
      <c r="C29" s="126" t="s">
        <v>283</v>
      </c>
      <c r="D29" s="125">
        <f>M29+O29+(K29*N29)+IF(OR(LEFT(A29)="G",LEFT(A29)="S"),Stats!$E$3-15+Bonuses!$BO$3,IF(OR(LEFT(A29)="Q",LEFT(A29)="R"),Bonuses!$BQ$3,Bonuses!$BP$3))</f>
        <v>17</v>
      </c>
      <c r="E29" s="125">
        <f t="shared" si="0"/>
        <v>2.5499999999999998</v>
      </c>
      <c r="F29" s="125">
        <f t="shared" si="1"/>
        <v>0.85000000000000009</v>
      </c>
      <c r="G29" s="84" t="str">
        <f t="shared" si="3"/>
        <v>0 Feet</v>
      </c>
      <c r="H29" s="85" t="str">
        <f>"D-5 * "&amp;10*K29&amp;" Secs"</f>
        <v>D-5 * -10 Secs</v>
      </c>
      <c r="I29" s="94" t="str">
        <f>CONCATENATE(1+CEILING(K29/2,1)," Targets")</f>
        <v>1 Targets</v>
      </c>
      <c r="J29" s="394">
        <v>300</v>
      </c>
      <c r="K29" s="80">
        <f>IF(ISERROR(C29*1),-1,C29+IF(LEFT(A29)="T",Bonuses!$BR$3,IF(LEFT(A29)="G",Bonuses!$BS$3,IF(LEFT(A29)="Q",Bonuses!$BT$3,IF(LEFT(A29)="S",Bonuses!$BU$3,IF(LEFT(A29)="R",Bonuses!$BV$3,0))))))+P29</f>
        <v>-1</v>
      </c>
      <c r="L29" s="80">
        <v>1</v>
      </c>
      <c r="M29" s="75">
        <v>20</v>
      </c>
      <c r="N29" s="75">
        <v>3</v>
      </c>
      <c r="O29" s="380"/>
      <c r="P29" s="380"/>
      <c r="R29" s="83">
        <v>12000</v>
      </c>
    </row>
    <row r="30" spans="1:19" x14ac:dyDescent="0.2">
      <c r="A30" s="95" t="s">
        <v>264</v>
      </c>
      <c r="B30" s="79" t="s">
        <v>315</v>
      </c>
      <c r="C30" s="126" t="s">
        <v>283</v>
      </c>
      <c r="D30" s="125">
        <f>M30+O30+(K30*N30)+IF(OR(LEFT(A30)="G",LEFT(A30)="S"),Stats!$E$3-15+Bonuses!$BO$3,IF(OR(LEFT(A30)="Q",LEFT(A30)="R"),Bonuses!$BQ$3,Bonuses!$BP$3))</f>
        <v>17</v>
      </c>
      <c r="E30" s="125">
        <f t="shared" si="0"/>
        <v>2.5499999999999998</v>
      </c>
      <c r="F30" s="125">
        <f t="shared" si="1"/>
        <v>0.85000000000000009</v>
      </c>
      <c r="G30" s="84" t="str">
        <f t="shared" si="3"/>
        <v>0 Feet</v>
      </c>
      <c r="H30" s="85" t="str">
        <f>"D-5 * "&amp;10*K30&amp;" Secs"</f>
        <v>D-5 * -10 Secs</v>
      </c>
      <c r="I30" s="94" t="str">
        <f>CONCATENATE(1+CEILING(K30/3,1)," Targets +10 IV")</f>
        <v>1 Targets +10 IV</v>
      </c>
      <c r="J30" s="394">
        <v>300</v>
      </c>
      <c r="K30" s="80">
        <f>IF(ISERROR(C30*1),-1,C30+IF(LEFT(A30)="T",Bonuses!$BR$3,IF(LEFT(A30)="G",Bonuses!$BS$3,IF(LEFT(A30)="Q",Bonuses!$BT$3,IF(LEFT(A30)="S",Bonuses!$BU$3,IF(LEFT(A30)="R",Bonuses!$BV$3,0))))))+P30</f>
        <v>-1</v>
      </c>
      <c r="L30" s="80">
        <v>1</v>
      </c>
      <c r="M30" s="75">
        <v>20</v>
      </c>
      <c r="N30" s="75">
        <v>3</v>
      </c>
      <c r="O30" s="380"/>
      <c r="P30" s="380"/>
      <c r="R30" s="83">
        <v>30000</v>
      </c>
    </row>
    <row r="31" spans="1:19" x14ac:dyDescent="0.2">
      <c r="J31" s="395"/>
    </row>
    <row r="32" spans="1:19" ht="15" customHeight="1" x14ac:dyDescent="0.2">
      <c r="A32" s="73"/>
      <c r="B32" s="73" t="s">
        <v>1104</v>
      </c>
      <c r="C32" s="74" t="s">
        <v>149</v>
      </c>
      <c r="D32" s="97" t="s">
        <v>231</v>
      </c>
      <c r="E32" s="97" t="s">
        <v>265</v>
      </c>
      <c r="F32" s="97" t="s">
        <v>266</v>
      </c>
      <c r="G32" s="74" t="s">
        <v>2</v>
      </c>
      <c r="H32" s="74" t="s">
        <v>232</v>
      </c>
      <c r="I32" s="74" t="s">
        <v>234</v>
      </c>
      <c r="J32" s="393" t="s">
        <v>233</v>
      </c>
      <c r="K32" s="75" t="s">
        <v>149</v>
      </c>
      <c r="L32" s="75" t="s">
        <v>235</v>
      </c>
      <c r="M32" s="75" t="s">
        <v>236</v>
      </c>
      <c r="N32" s="76" t="s">
        <v>269</v>
      </c>
      <c r="O32" s="3" t="s">
        <v>169</v>
      </c>
      <c r="P32" s="3" t="s">
        <v>171</v>
      </c>
      <c r="Q32" s="77" t="s">
        <v>237</v>
      </c>
      <c r="R32" s="78" t="s">
        <v>238</v>
      </c>
    </row>
    <row r="33" spans="1:18" x14ac:dyDescent="0.2">
      <c r="A33" s="95" t="s">
        <v>239</v>
      </c>
      <c r="B33" s="79" t="s">
        <v>977</v>
      </c>
      <c r="C33" s="126">
        <v>0</v>
      </c>
      <c r="D33" s="125"/>
      <c r="E33" s="125"/>
      <c r="F33" s="125"/>
      <c r="I33" s="94" t="s">
        <v>1107</v>
      </c>
      <c r="J33" s="394">
        <v>150</v>
      </c>
      <c r="K33" s="80">
        <f>IF(ISERROR(C33*1),-1,C33+IF(LEFT(A33)="T",Bonuses!$BR$3,IF(LEFT(A33)="G",Bonuses!$BS$3,IF(LEFT(A33)="Q",Bonuses!$BT$3,IF(LEFT(A33)="S",Bonuses!$BU$3,IF(LEFT(A33)="R",Bonuses!$BV$3,0))))))+P33</f>
        <v>0</v>
      </c>
      <c r="L33" s="80">
        <v>0</v>
      </c>
      <c r="O33" s="380"/>
      <c r="P33" s="380"/>
    </row>
    <row r="34" spans="1:18" x14ac:dyDescent="0.2">
      <c r="A34" s="95" t="s">
        <v>611</v>
      </c>
      <c r="B34" s="79" t="s">
        <v>1105</v>
      </c>
      <c r="C34" s="126">
        <v>0</v>
      </c>
      <c r="D34" s="125"/>
      <c r="E34" s="125"/>
      <c r="F34" s="125"/>
      <c r="G34" s="84" t="str">
        <f>10+(10*K34)&amp;" Feet"</f>
        <v>10 Feet</v>
      </c>
      <c r="J34" s="394">
        <v>225</v>
      </c>
      <c r="K34" s="80">
        <f>IF(ISERROR(C34*1),-1,C34+IF(LEFT(A34)="T",Bonuses!$BR$3,IF(LEFT(A34)="G",Bonuses!$BS$3,IF(LEFT(A34)="Q",Bonuses!$BT$3,IF(LEFT(A34)="S",Bonuses!$BU$3,IF(LEFT(A34)="R",Bonuses!$BV$3,0))))))+P34</f>
        <v>0</v>
      </c>
      <c r="L34" s="80">
        <v>0</v>
      </c>
      <c r="M34" s="75">
        <f>Stats!$I$3</f>
        <v>5</v>
      </c>
      <c r="N34" s="75">
        <v>5</v>
      </c>
      <c r="O34" s="380"/>
      <c r="P34" s="380"/>
    </row>
    <row r="35" spans="1:18" x14ac:dyDescent="0.2">
      <c r="A35" s="95" t="s">
        <v>746</v>
      </c>
      <c r="B35" s="79" t="s">
        <v>1106</v>
      </c>
      <c r="C35" s="126">
        <v>0</v>
      </c>
      <c r="D35" s="125">
        <f>M35+O35+(K35*N35)+IF(OR(LEFT(A35)="G",LEFT(A35)="S"),Stats!$E$3-15+Bonuses!$BO$3,IF(OR(LEFT(A35)="Q",LEFT(A35)="R"),Bonuses!$BQ$3,Bonuses!$BP$3))</f>
        <v>0</v>
      </c>
      <c r="E35" s="125">
        <f t="shared" ref="E35:E65" si="4">D35*0.15</f>
        <v>0</v>
      </c>
      <c r="F35" s="125">
        <f t="shared" ref="F35:F49" si="5">D35*0.05</f>
        <v>0</v>
      </c>
      <c r="G35" s="84" t="str">
        <f>15+(15*K35)&amp;" Feet"</f>
        <v>15 Feet</v>
      </c>
      <c r="J35" s="394">
        <v>200</v>
      </c>
      <c r="K35" s="80">
        <f>IF(ISERROR(C35*1),-1,C35+IF(LEFT(A35)="T",Bonuses!$BR$3,IF(LEFT(A35)="G",Bonuses!$BS$3,IF(LEFT(A35)="Q",Bonuses!$BT$3,IF(LEFT(A35)="S",Bonuses!$BU$3,IF(LEFT(A35)="R",Bonuses!$BV$3,0))))))+P35</f>
        <v>0</v>
      </c>
      <c r="L35" s="80">
        <v>0</v>
      </c>
      <c r="O35" s="380"/>
      <c r="P35" s="380"/>
    </row>
    <row r="36" spans="1:18" x14ac:dyDescent="0.2">
      <c r="A36" s="95" t="s">
        <v>241</v>
      </c>
      <c r="B36" s="79" t="s">
        <v>1108</v>
      </c>
      <c r="C36" s="126">
        <v>0</v>
      </c>
      <c r="D36" s="125">
        <f>M36+O36+(K36*N36)+IF(OR(LEFT(A36)="G",LEFT(A36)="S"),Stats!$E$3-15+Bonuses!$BO$3,IF(OR(LEFT(A36)="Q",LEFT(A36)="R"),Bonuses!$BQ$3,Bonuses!$BP$3))</f>
        <v>40</v>
      </c>
      <c r="E36" s="125">
        <f t="shared" si="4"/>
        <v>6</v>
      </c>
      <c r="F36" s="125">
        <f t="shared" si="5"/>
        <v>2</v>
      </c>
      <c r="G36" s="84" t="str">
        <f>15+(15*K36)&amp;" Feet"</f>
        <v>15 Feet</v>
      </c>
      <c r="H36" s="85" t="str">
        <f>10+(10*K36)&amp;" Mins"</f>
        <v>10 Mins</v>
      </c>
      <c r="J36" s="394">
        <v>100</v>
      </c>
      <c r="K36" s="80">
        <f>IF(ISERROR(C36*1),-1,C36+IF(LEFT(A36)="T",Bonuses!$BR$3,IF(LEFT(A36)="G",Bonuses!$BS$3,IF(LEFT(A36)="Q",Bonuses!$BT$3,IF(LEFT(A36)="S",Bonuses!$BU$3,IF(LEFT(A36)="R",Bonuses!$BV$3,0))))))+P36</f>
        <v>0</v>
      </c>
      <c r="L36" s="80">
        <v>1</v>
      </c>
      <c r="M36" s="75">
        <v>40</v>
      </c>
      <c r="N36" s="75">
        <v>3</v>
      </c>
      <c r="O36" s="380"/>
      <c r="P36" s="380"/>
      <c r="Q36" s="86">
        <f>MAX((MAX(Stats!$E$2,Ranking!$C$13)-15)*5,0)</f>
        <v>0</v>
      </c>
      <c r="R36" s="83">
        <v>300</v>
      </c>
    </row>
    <row r="37" spans="1:18" x14ac:dyDescent="0.2">
      <c r="A37" s="95" t="s">
        <v>242</v>
      </c>
      <c r="B37" s="79" t="s">
        <v>1109</v>
      </c>
      <c r="C37" s="126">
        <v>0</v>
      </c>
      <c r="D37" s="125">
        <f>M37+O37+(K37*N37)+IF(OR(LEFT(A37)="G",LEFT(A37)="S"),Stats!$E$3-15+Bonuses!$BO$3,IF(OR(LEFT(A37)="Q",LEFT(A37)="R"),Bonuses!$BQ$3,Bonuses!$BP$3))</f>
        <v>30</v>
      </c>
      <c r="E37" s="125">
        <f t="shared" si="4"/>
        <v>4.5</v>
      </c>
      <c r="F37" s="125">
        <f t="shared" si="5"/>
        <v>1.5</v>
      </c>
      <c r="G37" s="84" t="str">
        <f>15+(15*K37)&amp;" Feet"</f>
        <v>15 Feet</v>
      </c>
      <c r="H37" s="85" t="s">
        <v>240</v>
      </c>
      <c r="J37" s="394">
        <v>125</v>
      </c>
      <c r="K37" s="80">
        <f>IF(ISERROR(C37*1),-1,C37+IF(LEFT(A37)="T",Bonuses!$BR$3,IF(LEFT(A37)="G",Bonuses!$BS$3,IF(LEFT(A37)="Q",Bonuses!$BT$3,IF(LEFT(A37)="S",Bonuses!$BU$3,IF(LEFT(A37)="R",Bonuses!$BV$3,0))))))+P37</f>
        <v>0</v>
      </c>
      <c r="L37" s="80">
        <v>1</v>
      </c>
      <c r="M37" s="75">
        <v>30</v>
      </c>
      <c r="N37" s="75">
        <v>3</v>
      </c>
      <c r="O37" s="380"/>
      <c r="P37" s="380"/>
      <c r="Q37" s="86">
        <f>MAX((MAX(Stats!$E$2,Ranking!$C$13)-15)*5,0)</f>
        <v>0</v>
      </c>
      <c r="R37" s="83">
        <v>300</v>
      </c>
    </row>
    <row r="38" spans="1:18" x14ac:dyDescent="0.2">
      <c r="A38" s="95" t="s">
        <v>243</v>
      </c>
      <c r="B38" s="79" t="s">
        <v>1110</v>
      </c>
      <c r="C38" s="126">
        <v>0</v>
      </c>
      <c r="D38" s="125">
        <f>M38+O38+(K38*N38)+IF(OR(LEFT(A38)="G",LEFT(A38)="S"),Stats!$E$3-15+Bonuses!$BO$3,IF(OR(LEFT(A38)="Q",LEFT(A38)="R"),Bonuses!$BQ$3,Bonuses!$BP$3))</f>
        <v>50</v>
      </c>
      <c r="E38" s="125">
        <f t="shared" si="4"/>
        <v>7.5</v>
      </c>
      <c r="F38" s="125">
        <f t="shared" si="5"/>
        <v>2.5</v>
      </c>
      <c r="G38" s="84" t="str">
        <f>15+(15*K38)&amp;" Feet"</f>
        <v>15 Feet</v>
      </c>
      <c r="H38" s="85" t="str">
        <f>10+(10*K38)&amp;" Mins"</f>
        <v>10 Mins</v>
      </c>
      <c r="J38" s="394">
        <v>100</v>
      </c>
      <c r="K38" s="80">
        <f>IF(ISERROR(C38*1),-1,C38+IF(LEFT(A38)="T",Bonuses!$BR$3,IF(LEFT(A38)="G",Bonuses!$BS$3,IF(LEFT(A38)="Q",Bonuses!$BT$3,IF(LEFT(A38)="S",Bonuses!$BU$3,IF(LEFT(A38)="R",Bonuses!$BV$3,0))))))+P38</f>
        <v>0</v>
      </c>
      <c r="L38" s="80">
        <v>1</v>
      </c>
      <c r="M38" s="75">
        <v>50</v>
      </c>
      <c r="N38" s="75">
        <v>3</v>
      </c>
      <c r="O38" s="380"/>
      <c r="P38" s="380"/>
      <c r="Q38" s="86">
        <f>MAX((MAX(Stats!$E$2,Ranking!$C$13)-15)*5,0)</f>
        <v>0</v>
      </c>
      <c r="R38" s="83">
        <v>300</v>
      </c>
    </row>
    <row r="39" spans="1:18" x14ac:dyDescent="0.2">
      <c r="A39" s="95" t="s">
        <v>245</v>
      </c>
      <c r="B39" s="79" t="s">
        <v>295</v>
      </c>
      <c r="C39" s="126">
        <v>0</v>
      </c>
      <c r="D39" s="125">
        <f>M39+O39+(K39*N39)+IF(OR(LEFT(A39)="G",LEFT(A39)="S"),Stats!$E$3-15+Bonuses!$BO$3,IF(OR(LEFT(A39)="Q",LEFT(A39)="R"),Bonuses!$BQ$3,Bonuses!$BP$3))</f>
        <v>30</v>
      </c>
      <c r="E39" s="125">
        <f t="shared" si="4"/>
        <v>4.5</v>
      </c>
      <c r="F39" s="125">
        <f t="shared" si="5"/>
        <v>1.5</v>
      </c>
      <c r="G39" s="84" t="str">
        <f>15+(15*K39)&amp;" Feet"</f>
        <v>15 Feet</v>
      </c>
      <c r="H39" s="85" t="str">
        <f>5+(5*K39)&amp;" Mins"</f>
        <v>5 Mins</v>
      </c>
      <c r="J39" s="394">
        <v>450</v>
      </c>
      <c r="K39" s="80">
        <f>IF(ISERROR(C39*1),-1,C39+IF(LEFT(A39)="T",Bonuses!$BR$3,IF(LEFT(A39)="G",Bonuses!$BS$3,IF(LEFT(A39)="Q",Bonuses!$BT$3,IF(LEFT(A39)="S",Bonuses!$BU$3,IF(LEFT(A39)="R",Bonuses!$BV$3,0))))))+P39</f>
        <v>0</v>
      </c>
      <c r="L39" s="80">
        <v>1</v>
      </c>
      <c r="M39" s="75">
        <v>30</v>
      </c>
      <c r="N39" s="75">
        <v>3</v>
      </c>
      <c r="O39" s="380"/>
      <c r="P39" s="380"/>
      <c r="Q39" s="86">
        <f>MAX((MAX(Stats!$E$2,Ranking!$C$13)-15)*5,0)</f>
        <v>0</v>
      </c>
      <c r="R39" s="83">
        <v>300</v>
      </c>
    </row>
    <row r="40" spans="1:18" x14ac:dyDescent="0.2">
      <c r="A40" s="95" t="s">
        <v>246</v>
      </c>
      <c r="B40" s="79" t="s">
        <v>1111</v>
      </c>
      <c r="C40" s="126">
        <v>0</v>
      </c>
      <c r="D40" s="125">
        <f>M40+O40+(K40*N40)+IF(OR(LEFT(A40)="G",LEFT(A40)="S"),Stats!$E$3-15+Bonuses!$BO$3,IF(OR(LEFT(A40)="Q",LEFT(A40)="R"),Bonuses!$BQ$3,Bonuses!$BP$3))</f>
        <v>40</v>
      </c>
      <c r="E40" s="125">
        <f t="shared" si="4"/>
        <v>6</v>
      </c>
      <c r="F40" s="125">
        <f t="shared" si="5"/>
        <v>2</v>
      </c>
      <c r="G40" s="84" t="str">
        <f>30+(30*K40)&amp;" Feet"</f>
        <v>30 Feet</v>
      </c>
      <c r="H40" s="85" t="str">
        <f>1+K40*2&amp;" Hours"</f>
        <v>1 Hours</v>
      </c>
      <c r="J40" s="394">
        <v>75</v>
      </c>
      <c r="K40" s="80">
        <f>IF(ISERROR(C40*1),-1,C40+IF(LEFT(A40)="T",Bonuses!$BR$3,IF(LEFT(A40)="G",Bonuses!$BS$3,IF(LEFT(A40)="Q",Bonuses!$BT$3,IF(LEFT(A40)="S",Bonuses!$BU$3,IF(LEFT(A40)="R",Bonuses!$BV$3,0))))))+P40</f>
        <v>0</v>
      </c>
      <c r="L40" s="80">
        <v>1</v>
      </c>
      <c r="M40" s="75">
        <v>40</v>
      </c>
      <c r="N40" s="75">
        <v>3</v>
      </c>
      <c r="O40" s="380"/>
      <c r="P40" s="380"/>
      <c r="Q40" s="86">
        <f>MAX((MAX(Stats!$E$2,Ranking!$C$13)-15)*5,0)</f>
        <v>0</v>
      </c>
      <c r="R40" s="83">
        <v>300</v>
      </c>
    </row>
    <row r="41" spans="1:18" x14ac:dyDescent="0.2">
      <c r="A41" s="95" t="s">
        <v>247</v>
      </c>
      <c r="B41" s="79" t="s">
        <v>1112</v>
      </c>
      <c r="C41" s="126">
        <v>0</v>
      </c>
      <c r="D41" s="125">
        <f>M41+O41+(K41*N41)+IF(OR(LEFT(A41)="G",LEFT(A41)="S"),Stats!$E$3-15+Bonuses!$BO$3,IF(OR(LEFT(A41)="Q",LEFT(A41)="R"),Bonuses!$BQ$3,Bonuses!$BP$3))</f>
        <v>20</v>
      </c>
      <c r="E41" s="125">
        <f t="shared" si="4"/>
        <v>3</v>
      </c>
      <c r="F41" s="125">
        <f t="shared" si="5"/>
        <v>1</v>
      </c>
      <c r="G41" s="84" t="str">
        <f>5+(5*K41)&amp;" Feet"</f>
        <v>5 Feet</v>
      </c>
      <c r="H41" s="85" t="str">
        <f>10+(10*K41)&amp;" Mins"</f>
        <v>10 Mins</v>
      </c>
      <c r="J41" s="394">
        <v>200</v>
      </c>
      <c r="K41" s="80">
        <f>IF(ISERROR(C41*1),-1,C41+IF(LEFT(A41)="T",Bonuses!$BR$3,IF(LEFT(A41)="G",Bonuses!$BS$3,IF(LEFT(A41)="Q",Bonuses!$BT$3,IF(LEFT(A41)="S",Bonuses!$BU$3,IF(LEFT(A41)="R",Bonuses!$BV$3,0))))))+P41</f>
        <v>0</v>
      </c>
      <c r="L41" s="80">
        <v>1</v>
      </c>
      <c r="M41" s="75">
        <v>20</v>
      </c>
      <c r="N41" s="75">
        <v>3</v>
      </c>
      <c r="O41" s="380"/>
      <c r="P41" s="380"/>
      <c r="Q41" s="86">
        <f>MAX((MAX(Stats!$E$2,Ranking!$C$13)-15)*5,0)</f>
        <v>0</v>
      </c>
      <c r="R41" s="83">
        <v>300</v>
      </c>
    </row>
    <row r="42" spans="1:18" x14ac:dyDescent="0.2">
      <c r="A42" s="95" t="s">
        <v>248</v>
      </c>
      <c r="B42" s="79" t="s">
        <v>1113</v>
      </c>
      <c r="C42" s="126">
        <v>0</v>
      </c>
      <c r="D42" s="125">
        <f>M42+O42+(K42*N42)+IF(OR(LEFT(A42)="G",LEFT(A42)="S"),Stats!$E$3-15+Bonuses!$BO$3,IF(OR(LEFT(A42)="Q",LEFT(A42)="R"),Bonuses!$BQ$3,Bonuses!$BP$3))</f>
        <v>30</v>
      </c>
      <c r="E42" s="125">
        <f t="shared" si="4"/>
        <v>4.5</v>
      </c>
      <c r="F42" s="125">
        <f>D42*0.05</f>
        <v>1.5</v>
      </c>
      <c r="G42" s="84" t="str">
        <f>15+(15*K42)&amp;" Feet"</f>
        <v>15 Feet</v>
      </c>
      <c r="H42" s="85" t="str">
        <f>0.5+K42/2&amp;" Hours"</f>
        <v>0.5 Hours</v>
      </c>
      <c r="J42" s="394">
        <v>200</v>
      </c>
      <c r="K42" s="80">
        <f>IF(ISERROR(C42*1),-1,C42+IF(LEFT(A42)="T",Bonuses!$BR$3,IF(LEFT(A42)="G",Bonuses!$BS$3,IF(LEFT(A42)="Q",Bonuses!$BT$3,IF(LEFT(A42)="S",Bonuses!$BU$3,IF(LEFT(A42)="R",Bonuses!$BV$3,0))))))+P42</f>
        <v>0</v>
      </c>
      <c r="L42" s="80">
        <v>1</v>
      </c>
      <c r="M42" s="75">
        <v>30</v>
      </c>
      <c r="N42" s="75">
        <v>3</v>
      </c>
      <c r="O42" s="380"/>
      <c r="P42" s="380"/>
      <c r="Q42" s="86">
        <f>MAX((MAX(Stats!$E$2,Ranking!$C$13)-15)*5,0)</f>
        <v>0</v>
      </c>
      <c r="R42" s="83">
        <v>300</v>
      </c>
    </row>
    <row r="43" spans="1:18" x14ac:dyDescent="0.2">
      <c r="A43" s="95" t="s">
        <v>248</v>
      </c>
      <c r="B43" s="79" t="s">
        <v>1114</v>
      </c>
      <c r="C43" s="126">
        <v>0</v>
      </c>
      <c r="D43" s="125">
        <f>M43+O43+(K43*N43)+IF(OR(LEFT(A43)="G",LEFT(A43)="S"),Stats!$E$3-15+Bonuses!$BO$3,IF(OR(LEFT(A43)="Q",LEFT(A43)="R"),Bonuses!$BQ$3,Bonuses!$BP$3))</f>
        <v>20</v>
      </c>
      <c r="E43" s="125">
        <f t="shared" si="4"/>
        <v>3</v>
      </c>
      <c r="F43" s="125">
        <f t="shared" si="5"/>
        <v>1</v>
      </c>
      <c r="G43" s="84" t="str">
        <f>15+(15*K43)&amp;" Feet"</f>
        <v>15 Feet</v>
      </c>
      <c r="H43" s="85" t="str">
        <f>0.5+K43/2&amp;" Hours"</f>
        <v>0.5 Hours</v>
      </c>
      <c r="J43" s="394">
        <v>125</v>
      </c>
      <c r="K43" s="80">
        <f>IF(ISERROR(C43*1),-1,C43+IF(LEFT(A43)="T",Bonuses!$BR$3,IF(LEFT(A43)="G",Bonuses!$BS$3,IF(LEFT(A43)="Q",Bonuses!$BT$3,IF(LEFT(A43)="S",Bonuses!$BU$3,IF(LEFT(A43)="R",Bonuses!$BV$3,0))))))+P43</f>
        <v>0</v>
      </c>
      <c r="L43" s="80">
        <v>1</v>
      </c>
      <c r="M43" s="75">
        <v>20</v>
      </c>
      <c r="N43" s="75">
        <v>3</v>
      </c>
      <c r="O43" s="380"/>
      <c r="P43" s="380"/>
      <c r="Q43" s="86">
        <f>MAX((MAX(Stats!$E$2,Ranking!$C$13)-15)*5,0)</f>
        <v>0</v>
      </c>
      <c r="R43" s="83">
        <v>300</v>
      </c>
    </row>
    <row r="44" spans="1:18" x14ac:dyDescent="0.2">
      <c r="A44" s="96" t="s">
        <v>268</v>
      </c>
      <c r="B44" s="79" t="s">
        <v>795</v>
      </c>
      <c r="C44" s="126">
        <v>0</v>
      </c>
      <c r="D44" s="125">
        <f>M44+O44+(K44*N44)+IF(OR(LEFT(A44)="G",LEFT(A44)="S"),Stats!$E$3-15+Bonuses!$BO$3,IF(OR(LEFT(A44)="Q",LEFT(A44)="R"),Bonuses!$BQ$3,Bonuses!$BP$3))</f>
        <v>40</v>
      </c>
      <c r="E44" s="125">
        <f t="shared" si="4"/>
        <v>6</v>
      </c>
      <c r="F44" s="125">
        <f t="shared" si="5"/>
        <v>2</v>
      </c>
      <c r="G44" s="84" t="str">
        <f>25+(25*K44)&amp;" Feet"</f>
        <v>25 Feet</v>
      </c>
      <c r="H44" s="88" t="str">
        <f>"D+"&amp;5+K44&amp;" Mins"</f>
        <v>D+5 Mins</v>
      </c>
      <c r="I44" s="94" t="str">
        <f>CONCATENATE("+",30 + (K44*3)," to MR vs Generals")</f>
        <v>+30 to MR vs Generals</v>
      </c>
      <c r="J44" s="394">
        <v>100</v>
      </c>
      <c r="K44" s="80">
        <f>IF(ISERROR(C44*1),-1,C44+IF(LEFT(A44)="T",Bonuses!$BR$3,IF(LEFT(A44)="G",Bonuses!$BS$3,IF(LEFT(A44)="Q",Bonuses!$BT$3,IF(LEFT(A44)="S",Bonuses!$BU$3,IF(LEFT(A44)="R",Bonuses!$BV$3,0))))))+P44</f>
        <v>0</v>
      </c>
      <c r="L44" s="80">
        <v>1</v>
      </c>
      <c r="M44" s="75">
        <v>40</v>
      </c>
      <c r="N44" s="75">
        <v>3</v>
      </c>
      <c r="O44" s="380"/>
      <c r="P44" s="380"/>
      <c r="Q44" s="86">
        <f>MAX((MAX(Stats!$E$2,Ranking!$C$13)-15)*5,0)</f>
        <v>0</v>
      </c>
      <c r="R44" s="83">
        <v>300</v>
      </c>
    </row>
    <row r="45" spans="1:18" x14ac:dyDescent="0.2">
      <c r="A45" s="96" t="s">
        <v>268</v>
      </c>
      <c r="B45" s="79" t="s">
        <v>797</v>
      </c>
      <c r="C45" s="126">
        <v>0</v>
      </c>
      <c r="D45" s="125">
        <f>M45+O45+(K45*N45)+IF(OR(LEFT(A45)="G",LEFT(A45)="S"),Stats!$E$3-15+Bonuses!$BO$3,IF(OR(LEFT(A45)="Q",LEFT(A45)="R"),Bonuses!$BQ$3,Bonuses!$BP$3))</f>
        <v>40</v>
      </c>
      <c r="E45" s="125">
        <f t="shared" si="4"/>
        <v>6</v>
      </c>
      <c r="F45" s="125">
        <f t="shared" si="5"/>
        <v>2</v>
      </c>
      <c r="G45" s="84" t="str">
        <f>25+(25*K45)&amp;" Feet"</f>
        <v>25 Feet</v>
      </c>
      <c r="H45" s="88" t="str">
        <f>"D+"&amp;5+K45&amp;" Mins"</f>
        <v>D+5 Mins</v>
      </c>
      <c r="I45" s="94" t="str">
        <f>CONCATENATE("+",30 + (K45*3)," to MR vs Specials")</f>
        <v>+30 to MR vs Specials</v>
      </c>
      <c r="J45" s="394">
        <v>200</v>
      </c>
      <c r="K45" s="80">
        <f>IF(ISERROR(C45*1),-1,C45+IF(LEFT(A45)="T",Bonuses!$BR$3,IF(LEFT(A45)="G",Bonuses!$BS$3,IF(LEFT(A45)="Q",Bonuses!$BT$3,IF(LEFT(A45)="S",Bonuses!$BU$3,IF(LEFT(A45)="R",Bonuses!$BV$3,0))))))+P45</f>
        <v>0</v>
      </c>
      <c r="L45" s="80">
        <v>1</v>
      </c>
      <c r="M45" s="75">
        <v>40</v>
      </c>
      <c r="N45" s="75">
        <v>3</v>
      </c>
      <c r="O45" s="380"/>
      <c r="P45" s="380"/>
      <c r="Q45" s="86">
        <f>MAX((MAX(Stats!$E$2,Ranking!$C$13)-15)*5,0)</f>
        <v>0</v>
      </c>
      <c r="R45" s="83">
        <v>300</v>
      </c>
    </row>
    <row r="46" spans="1:18" x14ac:dyDescent="0.2">
      <c r="A46" s="96" t="s">
        <v>251</v>
      </c>
      <c r="B46" s="87" t="s">
        <v>1115</v>
      </c>
      <c r="C46" s="126">
        <v>0</v>
      </c>
      <c r="D46" s="125">
        <f>M46+O46+(K46*N46)+IF(OR(LEFT(A46)="G",LEFT(A46)="S"),Stats!$E$3-15+Bonuses!$BO$3,IF(OR(LEFT(A46)="Q",LEFT(A46)="R"),Bonuses!$BQ$3,Bonuses!$BP$3))</f>
        <v>40</v>
      </c>
      <c r="E46" s="125">
        <f t="shared" si="4"/>
        <v>6</v>
      </c>
      <c r="F46" s="125">
        <f t="shared" si="5"/>
        <v>2</v>
      </c>
      <c r="G46" s="84" t="str">
        <f>5+(5*K46)&amp;" Feet"</f>
        <v>5 Feet</v>
      </c>
      <c r="H46" s="85" t="str">
        <f>6+K46*6&amp;" Hours"</f>
        <v>6 Hours</v>
      </c>
      <c r="I46" s="90"/>
      <c r="J46" s="395">
        <v>100</v>
      </c>
      <c r="K46" s="80">
        <f>IF(ISERROR(C46*1),-1,C46+IF(LEFT(A46)="T",Bonuses!$BR$3,IF(LEFT(A46)="G",Bonuses!$BS$3,IF(LEFT(A46)="Q",Bonuses!$BT$3,IF(LEFT(A46)="S",Bonuses!$BU$3,IF(LEFT(A46)="R",Bonuses!$BV$3,0))))))+P46</f>
        <v>0</v>
      </c>
      <c r="L46" s="80">
        <v>7</v>
      </c>
      <c r="M46" s="89">
        <v>40</v>
      </c>
      <c r="N46" s="75">
        <v>4</v>
      </c>
      <c r="O46" s="380"/>
      <c r="P46" s="380"/>
      <c r="Q46" s="86">
        <f>MAX((MAX(Stats!$E$2,Ranking!$C$13)-15)*5,0)</f>
        <v>0</v>
      </c>
      <c r="R46" s="83">
        <v>300</v>
      </c>
    </row>
    <row r="47" spans="1:18" x14ac:dyDescent="0.2">
      <c r="A47" s="96" t="s">
        <v>251</v>
      </c>
      <c r="B47" s="87" t="s">
        <v>1116</v>
      </c>
      <c r="C47" s="126">
        <v>0</v>
      </c>
      <c r="D47" s="125">
        <f>M47+O47+(K47*N47)+IF(OR(LEFT(A47)="G",LEFT(A47)="S"),Stats!$E$3-15+Bonuses!$BO$3,IF(OR(LEFT(A47)="Q",LEFT(A47)="R"),Bonuses!$BQ$3,Bonuses!$BP$3))</f>
        <v>40</v>
      </c>
      <c r="E47" s="125">
        <f t="shared" si="4"/>
        <v>6</v>
      </c>
      <c r="F47" s="125">
        <f>D47*0.05</f>
        <v>2</v>
      </c>
      <c r="G47" s="84" t="str">
        <f>30+(30*K47)&amp;" Feet"</f>
        <v>30 Feet</v>
      </c>
      <c r="H47" s="85" t="str">
        <f>1+K47*2&amp;" Hours"</f>
        <v>1 Hours</v>
      </c>
      <c r="I47" s="90"/>
      <c r="J47" s="395">
        <v>75</v>
      </c>
      <c r="K47" s="80">
        <f>IF(ISERROR(C47*1),-1,C47+IF(LEFT(A47)="T",Bonuses!$BR$3,IF(LEFT(A47)="G",Bonuses!$BS$3,IF(LEFT(A47)="Q",Bonuses!$BT$3,IF(LEFT(A47)="S",Bonuses!$BU$3,IF(LEFT(A47)="R",Bonuses!$BV$3,0))))))+P47</f>
        <v>0</v>
      </c>
      <c r="L47" s="80">
        <v>7</v>
      </c>
      <c r="M47" s="89">
        <v>40</v>
      </c>
      <c r="N47" s="75">
        <v>4</v>
      </c>
      <c r="O47" s="380"/>
      <c r="P47" s="380"/>
      <c r="Q47" s="86">
        <f>MAX((MAX(Stats!$E$2,Ranking!$C$13)-15)*5,0)</f>
        <v>0</v>
      </c>
      <c r="R47" s="83">
        <v>300</v>
      </c>
    </row>
    <row r="48" spans="1:18" x14ac:dyDescent="0.2">
      <c r="A48" s="96" t="s">
        <v>994</v>
      </c>
      <c r="B48" s="87" t="s">
        <v>252</v>
      </c>
      <c r="C48" s="126">
        <v>0</v>
      </c>
      <c r="D48" s="125">
        <f>M48+O48+(K48*N48)+IF(OR(LEFT(A48)="G",LEFT(A48)="S"),Stats!$E$3-15+Bonuses!$BO$3,IF(OR(LEFT(A48)="Q",LEFT(A48)="R"),Bonuses!$BQ$3,Bonuses!$BP$3))</f>
        <v>30</v>
      </c>
      <c r="E48" s="125">
        <f t="shared" si="4"/>
        <v>4.5</v>
      </c>
      <c r="F48" s="125">
        <f t="shared" si="5"/>
        <v>1.5</v>
      </c>
      <c r="G48" s="84" t="s">
        <v>616</v>
      </c>
      <c r="H48" s="85" t="str">
        <f>4+K48*4&amp;" Hours"</f>
        <v>4 Hours</v>
      </c>
      <c r="I48" s="90" t="str">
        <f>CONCATENATE("+ ",K48," MR. +",TRUNC(K48/5)," MA.")</f>
        <v>+ 0 MR. +0 MA.</v>
      </c>
      <c r="J48" s="395">
        <v>200</v>
      </c>
      <c r="K48" s="80">
        <f>IF(ISERROR(C48*1),-1,C48+IF(LEFT(A48)="T",Bonuses!$BR$3,IF(LEFT(A48)="G",Bonuses!$BS$3,IF(LEFT(A48)="Q",Bonuses!$BT$3,IF(LEFT(A48)="S",Bonuses!$BU$3,IF(LEFT(A48)="R",Bonuses!$BV$3,0))))))+P48</f>
        <v>0</v>
      </c>
      <c r="L48" s="80">
        <v>7</v>
      </c>
      <c r="M48" s="75">
        <f>Stats!$E$3+Stats!$F$3</f>
        <v>30</v>
      </c>
      <c r="N48" s="75">
        <v>3</v>
      </c>
      <c r="O48" s="380"/>
      <c r="P48" s="380"/>
      <c r="Q48" s="86">
        <f>MAX((MAX(Stats!$E$2,Ranking!$C$13)-15)*5,0)</f>
        <v>0</v>
      </c>
      <c r="R48" s="83">
        <v>300</v>
      </c>
    </row>
    <row r="49" spans="1:22" x14ac:dyDescent="0.2">
      <c r="A49" s="95" t="s">
        <v>253</v>
      </c>
      <c r="B49" s="79" t="s">
        <v>1117</v>
      </c>
      <c r="C49" s="126" t="s">
        <v>283</v>
      </c>
      <c r="D49" s="125">
        <f>M49+O49+(K49*N49)+IF(OR(LEFT(A49)="G",LEFT(A49)="S"),Stats!$E$3-15+Bonuses!$BO$3,IF(OR(LEFT(A49)="Q",LEFT(A49)="R"),Bonuses!$BQ$3,Bonuses!$BP$3))</f>
        <v>32</v>
      </c>
      <c r="E49" s="125">
        <f t="shared" si="4"/>
        <v>4.8</v>
      </c>
      <c r="F49" s="125">
        <f t="shared" si="5"/>
        <v>1.6</v>
      </c>
      <c r="G49" s="84" t="str">
        <f>15+(15*K49)&amp;" Feet"</f>
        <v>0 Feet</v>
      </c>
      <c r="H49" s="85" t="str">
        <f>10+(10*K49)&amp;" Mins"</f>
        <v>0 Mins</v>
      </c>
      <c r="J49" s="394">
        <v>150</v>
      </c>
      <c r="K49" s="80">
        <f>IF(ISERROR(C49*1),-1,C49+IF(LEFT(A49)="T",Bonuses!$BR$3,IF(LEFT(A49)="G",Bonuses!$BS$3,IF(LEFT(A49)="Q",Bonuses!$BT$3,IF(LEFT(A49)="S",Bonuses!$BU$3,IF(LEFT(A49)="R",Bonuses!$BV$3,0))))))+P49</f>
        <v>-1</v>
      </c>
      <c r="L49" s="80">
        <v>1</v>
      </c>
      <c r="M49" s="75">
        <v>35</v>
      </c>
      <c r="N49" s="75">
        <v>3</v>
      </c>
      <c r="O49" s="380"/>
      <c r="P49" s="380"/>
      <c r="Q49" s="86"/>
      <c r="R49" s="310">
        <v>10000</v>
      </c>
      <c r="V49" s="310"/>
    </row>
    <row r="50" spans="1:22" s="92" customFormat="1" x14ac:dyDescent="0.2">
      <c r="A50" s="96" t="s">
        <v>254</v>
      </c>
      <c r="B50" s="79" t="s">
        <v>1119</v>
      </c>
      <c r="C50" s="126" t="s">
        <v>283</v>
      </c>
      <c r="D50" s="125">
        <f>M50+O50+(K50*N50)+IF(OR(LEFT(A50)="G",LEFT(A50)="S"),Stats!$E$3-15+Bonuses!$BO$3,IF(OR(LEFT(A50)="Q",LEFT(A50)="R"),Bonuses!$BQ$3,Bonuses!$BP$3))</f>
        <v>27</v>
      </c>
      <c r="E50" s="125">
        <f t="shared" si="4"/>
        <v>4.05</v>
      </c>
      <c r="F50" s="125">
        <f>D50*0.05</f>
        <v>1.35</v>
      </c>
      <c r="G50" s="84" t="str">
        <f>15+(5*K50)&amp;" Feet"</f>
        <v>10 Feet</v>
      </c>
      <c r="H50" s="85" t="str">
        <f>5+(5*K50)&amp;" Secs"</f>
        <v>0 Secs</v>
      </c>
      <c r="I50" s="94" t="str">
        <f>"[D-2]+"&amp;TRUNC(K50/2,0)</f>
        <v>[D-2]+0</v>
      </c>
      <c r="J50" s="395">
        <v>200</v>
      </c>
      <c r="K50" s="80">
        <f>IF(ISERROR(C50*1),-1,C50+IF(LEFT(A50)="T",Bonuses!$BR$3,IF(LEFT(A50)="G",Bonuses!$BS$3,IF(LEFT(A50)="Q",Bonuses!$BT$3,IF(LEFT(A50)="S",Bonuses!$BU$3,IF(LEFT(A50)="R",Bonuses!$BV$3,0))))))+P50</f>
        <v>-1</v>
      </c>
      <c r="L50" s="84">
        <v>1</v>
      </c>
      <c r="M50" s="89">
        <v>30</v>
      </c>
      <c r="N50" s="75">
        <v>3</v>
      </c>
      <c r="O50" s="380"/>
      <c r="P50" s="380"/>
      <c r="Q50" s="86"/>
      <c r="R50" s="311">
        <v>2000</v>
      </c>
      <c r="S50" s="84"/>
      <c r="V50" s="311"/>
    </row>
    <row r="51" spans="1:22" x14ac:dyDescent="0.2">
      <c r="A51" s="95" t="s">
        <v>255</v>
      </c>
      <c r="B51" s="79" t="s">
        <v>1118</v>
      </c>
      <c r="C51" s="126" t="s">
        <v>283</v>
      </c>
      <c r="D51" s="125">
        <f>M51+O51+(K51*N51)+IF(OR(LEFT(A51)="G",LEFT(A51)="S"),Stats!$E$3-15+Bonuses!$BO$3,IF(OR(LEFT(A51)="Q",LEFT(A51)="R"),Bonuses!$BQ$3,Bonuses!$BP$3))</f>
        <v>17</v>
      </c>
      <c r="E51" s="125">
        <f t="shared" si="4"/>
        <v>2.5499999999999998</v>
      </c>
      <c r="F51" s="125">
        <f t="shared" ref="F51:F61" si="6">D51*0.05</f>
        <v>0.85000000000000009</v>
      </c>
      <c r="G51" s="84" t="s">
        <v>679</v>
      </c>
      <c r="H51" s="85" t="str">
        <f>10+(10*K51)&amp;" Mins"</f>
        <v>0 Mins</v>
      </c>
      <c r="J51" s="394">
        <v>250</v>
      </c>
      <c r="K51" s="80">
        <f>IF(ISERROR(C51*1),-1,C51+IF(LEFT(A51)="T",Bonuses!$BR$3,IF(LEFT(A51)="G",Bonuses!$BS$3,IF(LEFT(A51)="Q",Bonuses!$BT$3,IF(LEFT(A51)="S",Bonuses!$BU$3,IF(LEFT(A51)="R",Bonuses!$BV$3,0))))))+P51</f>
        <v>-1</v>
      </c>
      <c r="L51" s="80">
        <v>1</v>
      </c>
      <c r="M51" s="75">
        <v>20</v>
      </c>
      <c r="N51" s="75">
        <v>3</v>
      </c>
      <c r="O51" s="380"/>
      <c r="P51" s="380"/>
      <c r="R51" s="310">
        <v>5000</v>
      </c>
      <c r="V51" s="310"/>
    </row>
    <row r="52" spans="1:22" x14ac:dyDescent="0.2">
      <c r="A52" s="95" t="s">
        <v>256</v>
      </c>
      <c r="B52" s="79" t="s">
        <v>1120</v>
      </c>
      <c r="C52" s="126" t="s">
        <v>283</v>
      </c>
      <c r="D52" s="125">
        <f>M52+O52+(K52*N52)+IF(OR(LEFT(A52)="G",LEFT(A52)="S"),Stats!$E$3-15+Bonuses!$BO$3,IF(OR(LEFT(A52)="Q",LEFT(A52)="R"),Bonuses!$BQ$3,Bonuses!$BP$3))</f>
        <v>37</v>
      </c>
      <c r="E52" s="125">
        <f t="shared" si="4"/>
        <v>5.55</v>
      </c>
      <c r="F52" s="125">
        <f t="shared" si="6"/>
        <v>1.85</v>
      </c>
      <c r="G52" s="84" t="s">
        <v>616</v>
      </c>
      <c r="H52" s="85" t="str">
        <f>1+K52&amp;" Hours"</f>
        <v>0 Hours</v>
      </c>
      <c r="J52" s="394">
        <v>200</v>
      </c>
      <c r="K52" s="80">
        <f>IF(ISERROR(C52*1),-1,C52+IF(LEFT(A52)="T",Bonuses!$BR$3,IF(LEFT(A52)="G",Bonuses!$BS$3,IF(LEFT(A52)="Q",Bonuses!$BT$3,IF(LEFT(A52)="S",Bonuses!$BU$3,IF(LEFT(A52)="R",Bonuses!$BV$3,0))))))+P52</f>
        <v>-1</v>
      </c>
      <c r="L52" s="80">
        <v>1</v>
      </c>
      <c r="M52" s="75">
        <v>40</v>
      </c>
      <c r="N52" s="75">
        <v>3</v>
      </c>
      <c r="O52" s="380"/>
      <c r="P52" s="380"/>
      <c r="R52" s="310">
        <v>5000</v>
      </c>
      <c r="V52" s="310"/>
    </row>
    <row r="53" spans="1:22" x14ac:dyDescent="0.2">
      <c r="A53" s="95" t="s">
        <v>257</v>
      </c>
      <c r="B53" s="79" t="s">
        <v>1121</v>
      </c>
      <c r="C53" s="126" t="s">
        <v>283</v>
      </c>
      <c r="D53" s="125">
        <f>M53+O53+(K53*N53)+IF(OR(LEFT(A53)="G",LEFT(A53)="S"),Stats!$E$3-15+Bonuses!$BO$3,IF(OR(LEFT(A53)="Q",LEFT(A53)="R"),Bonuses!$BQ$3,Bonuses!$BP$3))</f>
        <v>17</v>
      </c>
      <c r="E53" s="125">
        <f t="shared" si="4"/>
        <v>2.5499999999999998</v>
      </c>
      <c r="F53" s="125">
        <f t="shared" si="6"/>
        <v>0.85000000000000009</v>
      </c>
      <c r="G53" s="84" t="s">
        <v>679</v>
      </c>
      <c r="H53" s="85" t="str">
        <f>1+K53&amp;" Hours"</f>
        <v>0 Hours</v>
      </c>
      <c r="J53" s="394">
        <v>200</v>
      </c>
      <c r="K53" s="80">
        <f>IF(ISERROR(C53*1),-1,C53+IF(LEFT(A53)="T",Bonuses!$BR$3,IF(LEFT(A53)="G",Bonuses!$BS$3,IF(LEFT(A53)="Q",Bonuses!$BT$3,IF(LEFT(A53)="S",Bonuses!$BU$3,IF(LEFT(A53)="R",Bonuses!$BV$3,0))))))+P53</f>
        <v>-1</v>
      </c>
      <c r="L53" s="80">
        <v>1</v>
      </c>
      <c r="M53" s="75">
        <v>20</v>
      </c>
      <c r="N53" s="75">
        <v>3</v>
      </c>
      <c r="O53" s="380"/>
      <c r="P53" s="380"/>
      <c r="R53" s="310">
        <v>15000</v>
      </c>
      <c r="V53" s="310"/>
    </row>
    <row r="54" spans="1:22" x14ac:dyDescent="0.2">
      <c r="A54" s="95" t="s">
        <v>258</v>
      </c>
      <c r="B54" s="79" t="s">
        <v>1132</v>
      </c>
      <c r="C54" s="126" t="s">
        <v>283</v>
      </c>
      <c r="D54" s="125">
        <f>M54+O54+(K54*N54)+IF(OR(LEFT(A54)="G",LEFT(A54)="S"),Stats!$E$3-15+Bonuses!$BO$3,IF(OR(LEFT(A54)="Q",LEFT(A54)="R"),Bonuses!$BQ$3,Bonuses!$BP$3))</f>
        <v>22</v>
      </c>
      <c r="E54" s="125">
        <f t="shared" si="4"/>
        <v>3.3</v>
      </c>
      <c r="F54" s="125">
        <f t="shared" si="6"/>
        <v>1.1000000000000001</v>
      </c>
      <c r="G54" s="84" t="str">
        <f>15+(15*K54)&amp;" Feet"</f>
        <v>0 Feet</v>
      </c>
      <c r="H54" s="85" t="str">
        <f>10+(10*K54)&amp;" Mins"</f>
        <v>0 Mins</v>
      </c>
      <c r="J54" s="394">
        <v>150</v>
      </c>
      <c r="K54" s="80">
        <f>IF(ISERROR(C54*1),-1,C54+IF(LEFT(A54)="T",Bonuses!$BR$3,IF(LEFT(A54)="G",Bonuses!$BS$3,IF(LEFT(A54)="Q",Bonuses!$BT$3,IF(LEFT(A54)="S",Bonuses!$BU$3,IF(LEFT(A54)="R",Bonuses!$BV$3,0))))))+P54</f>
        <v>-1</v>
      </c>
      <c r="L54" s="80">
        <v>1</v>
      </c>
      <c r="M54" s="75">
        <v>25</v>
      </c>
      <c r="N54" s="75">
        <v>3</v>
      </c>
      <c r="O54" s="380"/>
      <c r="P54" s="380"/>
      <c r="R54" s="310">
        <v>1000</v>
      </c>
      <c r="V54" s="310"/>
    </row>
    <row r="55" spans="1:22" x14ac:dyDescent="0.2">
      <c r="A55" s="95" t="s">
        <v>259</v>
      </c>
      <c r="B55" s="79" t="s">
        <v>1131</v>
      </c>
      <c r="C55" s="126" t="s">
        <v>283</v>
      </c>
      <c r="D55" s="125">
        <f>M55+O55+(K55*N55)+IF(OR(LEFT(A55)="G",LEFT(A55)="S"),Stats!$E$3-15+Bonuses!$BO$3,IF(OR(LEFT(A55)="Q",LEFT(A55)="R"),Bonuses!$BQ$3,Bonuses!$BP$3))</f>
        <v>22</v>
      </c>
      <c r="E55" s="125">
        <f t="shared" si="4"/>
        <v>3.3</v>
      </c>
      <c r="F55" s="125">
        <f t="shared" si="6"/>
        <v>1.1000000000000001</v>
      </c>
      <c r="G55" s="84" t="str">
        <f>15+(15*K55)&amp;" Feet"</f>
        <v>0 Feet</v>
      </c>
      <c r="H55" s="85" t="str">
        <f>10+(10*K55)&amp;" Mins"</f>
        <v>0 Mins</v>
      </c>
      <c r="J55" s="394">
        <v>225</v>
      </c>
      <c r="K55" s="80">
        <f>IF(ISERROR(C55*1),-1,C55+IF(LEFT(A55)="T",Bonuses!$BR$3,IF(LEFT(A55)="G",Bonuses!$BS$3,IF(LEFT(A55)="Q",Bonuses!$BT$3,IF(LEFT(A55)="S",Bonuses!$BU$3,IF(LEFT(A55)="R",Bonuses!$BV$3,0))))))+P55</f>
        <v>-1</v>
      </c>
      <c r="L55" s="80">
        <v>1</v>
      </c>
      <c r="M55" s="75">
        <v>25</v>
      </c>
      <c r="N55" s="75">
        <v>3</v>
      </c>
      <c r="O55" s="380"/>
      <c r="P55" s="380"/>
      <c r="R55" s="310">
        <v>7000</v>
      </c>
      <c r="V55" s="310"/>
    </row>
    <row r="56" spans="1:22" x14ac:dyDescent="0.2">
      <c r="A56" s="95" t="s">
        <v>260</v>
      </c>
      <c r="B56" s="79" t="s">
        <v>1130</v>
      </c>
      <c r="C56" s="126" t="s">
        <v>283</v>
      </c>
      <c r="D56" s="125">
        <f>M56+O56+(K56*N56)+IF(OR(LEFT(A56)="G",LEFT(A56)="S"),Stats!$E$3-15+Bonuses!$BO$3,IF(OR(LEFT(A56)="Q",LEFT(A56)="R"),Bonuses!$BQ$3,Bonuses!$BP$3))</f>
        <v>27</v>
      </c>
      <c r="E56" s="125">
        <f t="shared" si="4"/>
        <v>4.05</v>
      </c>
      <c r="F56" s="125">
        <f t="shared" si="6"/>
        <v>1.35</v>
      </c>
      <c r="G56" s="84" t="str">
        <f>15+(15*K56)&amp;" Feet"</f>
        <v>0 Feet</v>
      </c>
      <c r="H56" s="85" t="str">
        <f>10+(10*K56)&amp;" Mins"</f>
        <v>0 Mins</v>
      </c>
      <c r="J56" s="394">
        <v>200</v>
      </c>
      <c r="K56" s="80">
        <f>IF(ISERROR(C56*1),-1,C56+IF(LEFT(A56)="T",Bonuses!$BR$3,IF(LEFT(A56)="G",Bonuses!$BS$3,IF(LEFT(A56)="Q",Bonuses!$BT$3,IF(LEFT(A56)="S",Bonuses!$BU$3,IF(LEFT(A56)="R",Bonuses!$BV$3,0))))))+P56</f>
        <v>-1</v>
      </c>
      <c r="L56" s="80">
        <v>1</v>
      </c>
      <c r="M56" s="75">
        <v>30</v>
      </c>
      <c r="N56" s="75">
        <v>3</v>
      </c>
      <c r="O56" s="380"/>
      <c r="P56" s="380"/>
      <c r="R56" s="310">
        <v>5000</v>
      </c>
      <c r="V56" s="310"/>
    </row>
    <row r="57" spans="1:22" x14ac:dyDescent="0.2">
      <c r="A57" s="95" t="s">
        <v>261</v>
      </c>
      <c r="B57" s="79" t="s">
        <v>1129</v>
      </c>
      <c r="C57" s="126" t="s">
        <v>283</v>
      </c>
      <c r="D57" s="125">
        <f>M57+O57+(K57*N57)+IF(OR(LEFT(A57)="G",LEFT(A57)="S"),Stats!$E$3-15+Bonuses!$BO$3,IF(OR(LEFT(A57)="Q",LEFT(A57)="R"),Bonuses!$BQ$3,Bonuses!$BP$3))</f>
        <v>27</v>
      </c>
      <c r="E57" s="125">
        <f t="shared" si="4"/>
        <v>4.05</v>
      </c>
      <c r="F57" s="125">
        <f t="shared" si="6"/>
        <v>1.35</v>
      </c>
      <c r="G57" s="84" t="str">
        <f>1+K57&amp;" Feet"</f>
        <v>0 Feet</v>
      </c>
      <c r="H57" s="85" t="str">
        <f>10+(10*K57)&amp;" Mins"</f>
        <v>0 Mins</v>
      </c>
      <c r="J57" s="394">
        <v>250</v>
      </c>
      <c r="K57" s="80">
        <f>IF(ISERROR(C57*1),-1,C57+IF(LEFT(A57)="T",Bonuses!$BR$3,IF(LEFT(A57)="G",Bonuses!$BS$3,IF(LEFT(A57)="Q",Bonuses!$BT$3,IF(LEFT(A57)="S",Bonuses!$BU$3,IF(LEFT(A57)="R",Bonuses!$BV$3,0))))))+P57</f>
        <v>-1</v>
      </c>
      <c r="L57" s="80">
        <v>1</v>
      </c>
      <c r="M57" s="75">
        <v>30</v>
      </c>
      <c r="N57" s="75">
        <v>3</v>
      </c>
      <c r="O57" s="380"/>
      <c r="P57" s="380"/>
      <c r="R57" s="310">
        <v>4000</v>
      </c>
      <c r="V57" s="310"/>
    </row>
    <row r="58" spans="1:22" x14ac:dyDescent="0.2">
      <c r="A58" s="95" t="s">
        <v>262</v>
      </c>
      <c r="B58" s="79" t="s">
        <v>1123</v>
      </c>
      <c r="C58" s="126" t="s">
        <v>283</v>
      </c>
      <c r="D58" s="125">
        <f>M58+O58+(K58*N58)+IF(OR(LEFT(A58)="G",LEFT(A58)="S"),Stats!$E$3-15+Bonuses!$BO$3,IF(OR(LEFT(A58)="Q",LEFT(A58)="R"),Bonuses!$BQ$3,Bonuses!$BP$3))</f>
        <v>-2</v>
      </c>
      <c r="E58" s="125">
        <f t="shared" si="4"/>
        <v>-0.3</v>
      </c>
      <c r="F58" s="125">
        <f t="shared" si="6"/>
        <v>-0.1</v>
      </c>
      <c r="G58" s="84" t="str">
        <f>15+(15*K58)&amp;" Feet"</f>
        <v>0 Feet</v>
      </c>
      <c r="H58" s="85" t="str">
        <f>5+(5*K58)&amp;" Secs"</f>
        <v>0 Secs</v>
      </c>
      <c r="J58" s="394">
        <v>450</v>
      </c>
      <c r="K58" s="80">
        <f>IF(ISERROR(C58*1),-1,C58+IF(LEFT(A58)="T",Bonuses!$BR$3,IF(LEFT(A58)="G",Bonuses!$BS$3,IF(LEFT(A58)="Q",Bonuses!$BT$3,IF(LEFT(A58)="S",Bonuses!$BU$3,IF(LEFT(A58)="R",Bonuses!$BV$3,0))))))+P58</f>
        <v>-1</v>
      </c>
      <c r="L58" s="80">
        <v>1</v>
      </c>
      <c r="M58" s="75">
        <v>1</v>
      </c>
      <c r="N58" s="75">
        <v>3</v>
      </c>
      <c r="O58" s="380"/>
      <c r="P58" s="380"/>
      <c r="R58" s="310">
        <v>25000</v>
      </c>
      <c r="V58" s="310"/>
    </row>
    <row r="59" spans="1:22" x14ac:dyDescent="0.2">
      <c r="A59" s="95" t="s">
        <v>263</v>
      </c>
      <c r="B59" s="79" t="s">
        <v>1124</v>
      </c>
      <c r="C59" s="126" t="s">
        <v>283</v>
      </c>
      <c r="D59" s="125">
        <f>M59+O59+(K59*N59)+IF(OR(LEFT(A59)="G",LEFT(A59)="S"),Stats!$E$3-15+Bonuses!$BO$3,IF(OR(LEFT(A59)="Q",LEFT(A59)="R"),Bonuses!$BQ$3,Bonuses!$BP$3))</f>
        <v>12</v>
      </c>
      <c r="E59" s="125">
        <f t="shared" si="4"/>
        <v>1.7999999999999998</v>
      </c>
      <c r="F59" s="125">
        <f t="shared" si="6"/>
        <v>0.60000000000000009</v>
      </c>
      <c r="G59" s="84" t="str">
        <f>1+(1*K59)&amp;" Feet"</f>
        <v>0 Feet</v>
      </c>
      <c r="H59" s="85" t="str">
        <f>5+(5*K59)&amp;" Mins"</f>
        <v>0 Mins</v>
      </c>
      <c r="J59" s="394">
        <v>225</v>
      </c>
      <c r="K59" s="80">
        <f>IF(ISERROR(C59*1),-1,C59+IF(LEFT(A59)="T",Bonuses!$BR$3,IF(LEFT(A59)="G",Bonuses!$BS$3,IF(LEFT(A59)="Q",Bonuses!$BT$3,IF(LEFT(A59)="S",Bonuses!$BU$3,IF(LEFT(A59)="R",Bonuses!$BV$3,0))))))+P59</f>
        <v>-1</v>
      </c>
      <c r="L59" s="80">
        <v>1</v>
      </c>
      <c r="M59" s="75">
        <v>15</v>
      </c>
      <c r="N59" s="75">
        <v>3</v>
      </c>
      <c r="O59" s="380"/>
      <c r="P59" s="380"/>
      <c r="R59" s="310">
        <v>15000</v>
      </c>
      <c r="V59" s="310"/>
    </row>
    <row r="60" spans="1:22" x14ac:dyDescent="0.2">
      <c r="A60" s="95" t="s">
        <v>264</v>
      </c>
      <c r="B60" s="79" t="s">
        <v>1125</v>
      </c>
      <c r="C60" s="126" t="s">
        <v>283</v>
      </c>
      <c r="D60" s="125">
        <f>M60+O60+(K60*N60)+IF(OR(LEFT(A60)="G",LEFT(A60)="S"),Stats!$E$3-15+Bonuses!$BO$3,IF(OR(LEFT(A60)="Q",LEFT(A60)="R"),Bonuses!$BQ$3,Bonuses!$BP$3))</f>
        <v>27</v>
      </c>
      <c r="E60" s="125">
        <f t="shared" si="4"/>
        <v>4.05</v>
      </c>
      <c r="F60" s="125">
        <f t="shared" si="6"/>
        <v>1.35</v>
      </c>
      <c r="G60" s="84" t="str">
        <f>20+(20*K60)&amp;" Feet"</f>
        <v>0 Feet</v>
      </c>
      <c r="H60" s="85" t="str">
        <f>10+(10*K60)&amp;" Mins"</f>
        <v>0 Mins</v>
      </c>
      <c r="J60" s="394">
        <v>100</v>
      </c>
      <c r="K60" s="80">
        <f>IF(ISERROR(C60*1),-1,C60+IF(LEFT(A60)="T",Bonuses!$BR$3,IF(LEFT(A60)="G",Bonuses!$BS$3,IF(LEFT(A60)="Q",Bonuses!$BT$3,IF(LEFT(A60)="S",Bonuses!$BU$3,IF(LEFT(A60)="R",Bonuses!$BV$3,0))))))+P60</f>
        <v>-1</v>
      </c>
      <c r="L60" s="80">
        <v>1</v>
      </c>
      <c r="M60" s="75">
        <v>30</v>
      </c>
      <c r="N60" s="75">
        <v>3</v>
      </c>
      <c r="O60" s="380"/>
      <c r="P60" s="380"/>
      <c r="R60" s="310">
        <v>1000</v>
      </c>
      <c r="V60" s="310"/>
    </row>
    <row r="61" spans="1:22" x14ac:dyDescent="0.2">
      <c r="A61" s="95" t="s">
        <v>700</v>
      </c>
      <c r="B61" s="79" t="s">
        <v>1128</v>
      </c>
      <c r="C61" s="126" t="s">
        <v>283</v>
      </c>
      <c r="D61" s="125">
        <f>M61+O61+(K61*N61)+IF(OR(LEFT(A61)="G",LEFT(A61)="S"),Stats!$E$3-15+Bonuses!$BO$3,IF(OR(LEFT(A61)="Q",LEFT(A61)="R"),Bonuses!$BQ$3,Bonuses!$BP$3))</f>
        <v>17</v>
      </c>
      <c r="E61" s="125">
        <f t="shared" si="4"/>
        <v>2.5499999999999998</v>
      </c>
      <c r="F61" s="125">
        <f t="shared" si="6"/>
        <v>0.85000000000000009</v>
      </c>
      <c r="G61" s="84" t="str">
        <f>1+(1*K61)&amp;" Feet"</f>
        <v>0 Feet</v>
      </c>
      <c r="H61" s="85" t="str">
        <f>1+(1*K61)&amp;" Mins"</f>
        <v>0 Mins</v>
      </c>
      <c r="J61" s="394">
        <v>200</v>
      </c>
      <c r="K61" s="80">
        <f>IF(ISERROR(C61*1),-1,C61+IF(LEFT(A61)="T",Bonuses!$BR$3,IF(LEFT(A61)="G",Bonuses!$BS$3,IF(LEFT(A61)="Q",Bonuses!$BT$3,IF(LEFT(A61)="S",Bonuses!$BU$3,IF(LEFT(A61)="R",Bonuses!$BV$3,0))))))+P61</f>
        <v>-1</v>
      </c>
      <c r="L61" s="80">
        <v>1</v>
      </c>
      <c r="M61" s="75">
        <v>20</v>
      </c>
      <c r="N61" s="75">
        <v>3</v>
      </c>
      <c r="O61" s="380"/>
      <c r="P61" s="380"/>
      <c r="R61" s="310">
        <v>7500</v>
      </c>
      <c r="V61" s="310"/>
    </row>
    <row r="62" spans="1:22" x14ac:dyDescent="0.2">
      <c r="A62" s="95" t="s">
        <v>702</v>
      </c>
      <c r="B62" s="79" t="s">
        <v>1122</v>
      </c>
      <c r="C62" s="126" t="s">
        <v>283</v>
      </c>
      <c r="D62" s="125">
        <f>M62+O62+(K62*N62)+IF(OR(LEFT(A62)="G",LEFT(A62)="S"),Stats!$E$3-15+Bonuses!$BO$3,IF(OR(LEFT(A62)="Q",LEFT(A62)="R"),Bonuses!$BQ$3,Bonuses!$BP$3))</f>
        <v>2</v>
      </c>
      <c r="E62" s="125">
        <f>D62*0.15</f>
        <v>0.3</v>
      </c>
      <c r="F62" s="125">
        <f>D62*0.05</f>
        <v>0.1</v>
      </c>
      <c r="G62" s="84" t="str">
        <f>15+(15*K62)&amp;" Feet"</f>
        <v>0 Feet</v>
      </c>
      <c r="H62" s="85" t="str">
        <f>10+(10*K62)&amp;" Secs"</f>
        <v>0 Secs</v>
      </c>
      <c r="I62" s="94" t="str">
        <f>"IV "&amp;30+2*K62&amp;", 2x [D-2]+"&amp;TRUNC(K62/2,0)&amp;" Dam, FT+EN="&amp;20+5*TRUNC(K62/2,0)&amp;", TMR:10"</f>
        <v>IV 28, 2x [D-2]+0 Dam, FT+EN=20, TMR:10</v>
      </c>
      <c r="J62" s="394">
        <v>400</v>
      </c>
      <c r="K62" s="80">
        <f>IF(ISERROR(C62*1),-1,C62+IF(LEFT(A62)="T",Bonuses!$BR$3,IF(LEFT(A62)="G",Bonuses!$BS$3,IF(LEFT(A62)="Q",Bonuses!$BT$3,IF(LEFT(A62)="S",Bonuses!$BU$3,IF(LEFT(A62)="R",Bonuses!$BV$3,0))))))+P62</f>
        <v>-1</v>
      </c>
      <c r="L62" s="80">
        <v>1</v>
      </c>
      <c r="M62" s="75">
        <v>5</v>
      </c>
      <c r="N62" s="75">
        <v>3</v>
      </c>
      <c r="O62" s="380"/>
      <c r="P62" s="380"/>
      <c r="R62" s="310">
        <v>10000</v>
      </c>
      <c r="V62" s="310"/>
    </row>
    <row r="63" spans="1:22" x14ac:dyDescent="0.2">
      <c r="A63" s="95" t="s">
        <v>625</v>
      </c>
      <c r="B63" s="79" t="s">
        <v>1126</v>
      </c>
      <c r="C63" s="126" t="s">
        <v>283</v>
      </c>
      <c r="D63" s="125">
        <f>M63+O63+(K63*N63)+IF(OR(LEFT(A63)="G",LEFT(A63)="S"),Stats!$E$3-15+Bonuses!$BO$3,IF(OR(LEFT(A63)="Q",LEFT(A63)="R"),Bonuses!$BQ$3,Bonuses!$BP$3))</f>
        <v>27</v>
      </c>
      <c r="E63" s="125">
        <f t="shared" si="4"/>
        <v>4.05</v>
      </c>
      <c r="F63" s="125">
        <f>D63*0.05</f>
        <v>1.35</v>
      </c>
      <c r="G63" s="80" t="s">
        <v>638</v>
      </c>
      <c r="H63" s="85" t="str">
        <f>1+(1*K63)&amp;" Days"</f>
        <v>0 Days</v>
      </c>
      <c r="J63" s="394">
        <v>200</v>
      </c>
      <c r="K63" s="80">
        <f>IF(ISERROR(C63*1),-1,C63+IF(LEFT(A63)="T",Bonuses!$BR$3,IF(LEFT(A63)="G",Bonuses!$BS$3,IF(LEFT(A63)="Q",Bonuses!$BT$3,IF(LEFT(A63)="S",Bonuses!$BU$3,IF(LEFT(A63)="R",Bonuses!$BV$3,0))))))+P63</f>
        <v>-1</v>
      </c>
      <c r="L63" s="80">
        <v>7</v>
      </c>
      <c r="M63" s="75">
        <v>30</v>
      </c>
      <c r="N63" s="75">
        <v>3</v>
      </c>
      <c r="O63" s="380"/>
      <c r="P63" s="380"/>
      <c r="R63" s="310">
        <v>10000</v>
      </c>
      <c r="V63" s="310"/>
    </row>
    <row r="64" spans="1:22" x14ac:dyDescent="0.2">
      <c r="A64" s="95" t="s">
        <v>627</v>
      </c>
      <c r="B64" s="79" t="s">
        <v>1127</v>
      </c>
      <c r="C64" s="126" t="s">
        <v>283</v>
      </c>
      <c r="D64" s="125">
        <f>M64+O64+(K64*N64)+IF(OR(LEFT(A64)="G",LEFT(A64)="S"),Stats!$E$3-15+Bonuses!$BO$3,IF(OR(LEFT(A64)="Q",LEFT(A64)="R"),Bonuses!$BQ$3,Bonuses!$BP$3))</f>
        <v>12</v>
      </c>
      <c r="E64" s="125">
        <f t="shared" si="4"/>
        <v>1.7999999999999998</v>
      </c>
      <c r="F64" s="125">
        <f>D64*0.05</f>
        <v>0.60000000000000009</v>
      </c>
      <c r="G64" s="84" t="str">
        <f>5+(5*K64)&amp;" Feet"</f>
        <v>0 Feet</v>
      </c>
      <c r="H64" s="85" t="str">
        <f>2+2*K64&amp;" Hours"</f>
        <v>0 Hours</v>
      </c>
      <c r="J64" s="394">
        <v>150</v>
      </c>
      <c r="K64" s="80">
        <f>IF(ISERROR(C64*1),-1,C64+IF(LEFT(A64)="T",Bonuses!$BR$3,IF(LEFT(A64)="G",Bonuses!$BS$3,IF(LEFT(A64)="Q",Bonuses!$BT$3,IF(LEFT(A64)="S",Bonuses!$BU$3,IF(LEFT(A64)="R",Bonuses!$BV$3,0))))))+P64</f>
        <v>-1</v>
      </c>
      <c r="L64" s="80">
        <v>7</v>
      </c>
      <c r="M64" s="75">
        <f>Stats!$E$3</f>
        <v>15</v>
      </c>
      <c r="N64" s="75">
        <v>3</v>
      </c>
      <c r="O64" s="380"/>
      <c r="P64" s="380"/>
      <c r="R64" s="310">
        <v>10000</v>
      </c>
      <c r="V64" s="310"/>
    </row>
    <row r="65" spans="1:23" x14ac:dyDescent="0.2">
      <c r="A65" s="95" t="s">
        <v>629</v>
      </c>
      <c r="B65" s="79" t="s">
        <v>1087</v>
      </c>
      <c r="C65" s="126" t="s">
        <v>283</v>
      </c>
      <c r="D65" s="125">
        <f>M65+O65+(K65*N65)+IF(OR(LEFT(A65)="G",LEFT(A65)="S"),Stats!$E$3-15+Bonuses!$BO$3,IF(OR(LEFT(A65)="Q",LEFT(A65)="R"),Bonuses!$BQ$3,Bonuses!$BP$3))</f>
        <v>11</v>
      </c>
      <c r="E65" s="125">
        <f t="shared" si="4"/>
        <v>1.65</v>
      </c>
      <c r="F65" s="125">
        <f>D65*0.05</f>
        <v>0.55000000000000004</v>
      </c>
      <c r="G65" s="80" t="s">
        <v>638</v>
      </c>
      <c r="H65" s="85" t="str">
        <f>1+(1*K65)&amp;" Days"</f>
        <v>0 Days</v>
      </c>
      <c r="J65" s="394">
        <v>550</v>
      </c>
      <c r="K65" s="80">
        <f>IF(ISERROR(C65*1),-1,C65+IF(LEFT(A65)="T",Bonuses!$BR$3,IF(LEFT(A65)="G",Bonuses!$BS$3,IF(LEFT(A65)="Q",Bonuses!$BT$3,IF(LEFT(A65)="S",Bonuses!$BU$3,IF(LEFT(A65)="R",Bonuses!$BV$3,0))))))+P65</f>
        <v>-1</v>
      </c>
      <c r="L65" s="80">
        <v>7</v>
      </c>
      <c r="M65" s="75">
        <f>Stats!$E$3</f>
        <v>15</v>
      </c>
      <c r="N65" s="75">
        <v>4</v>
      </c>
      <c r="O65" s="380"/>
      <c r="P65" s="380"/>
      <c r="R65" s="310">
        <v>15000</v>
      </c>
      <c r="V65" s="310"/>
    </row>
    <row r="66" spans="1:23" x14ac:dyDescent="0.2">
      <c r="W66" s="310"/>
    </row>
    <row r="67" spans="1:23" ht="15" customHeight="1" x14ac:dyDescent="0.2">
      <c r="A67" s="73"/>
      <c r="B67" s="73" t="s">
        <v>1094</v>
      </c>
      <c r="C67" s="74" t="s">
        <v>149</v>
      </c>
      <c r="D67" s="97" t="s">
        <v>231</v>
      </c>
      <c r="E67" s="97" t="s">
        <v>265</v>
      </c>
      <c r="F67" s="97" t="s">
        <v>266</v>
      </c>
      <c r="G67" s="74" t="s">
        <v>2</v>
      </c>
      <c r="H67" s="74" t="s">
        <v>232</v>
      </c>
      <c r="I67" s="74" t="s">
        <v>234</v>
      </c>
      <c r="J67" s="393" t="s">
        <v>233</v>
      </c>
      <c r="K67" s="75" t="s">
        <v>149</v>
      </c>
      <c r="L67" s="75" t="s">
        <v>235</v>
      </c>
      <c r="M67" s="75" t="s">
        <v>236</v>
      </c>
      <c r="N67" s="76" t="s">
        <v>269</v>
      </c>
      <c r="O67" s="3" t="s">
        <v>169</v>
      </c>
      <c r="P67" s="3" t="s">
        <v>171</v>
      </c>
      <c r="Q67" s="77" t="s">
        <v>237</v>
      </c>
      <c r="R67" s="78" t="s">
        <v>238</v>
      </c>
      <c r="V67" s="310"/>
    </row>
    <row r="68" spans="1:23" x14ac:dyDescent="0.2">
      <c r="A68" s="95" t="s">
        <v>239</v>
      </c>
      <c r="B68" s="79" t="s">
        <v>609</v>
      </c>
      <c r="C68" s="126">
        <v>0</v>
      </c>
      <c r="D68" s="125">
        <f>M68+O68+(K68*N68)+IF(OR(LEFT(A68)="G",LEFT(A68)="S"),Stats!$E$3-15+Bonuses!$BO$3,IF(OR(LEFT(A68)="Q",LEFT(A68)="R"),Bonuses!$BQ$3,Bonuses!$BP$3))</f>
        <v>10</v>
      </c>
      <c r="E68" s="125">
        <f t="shared" ref="E68:E120" si="7">D68*0.15</f>
        <v>1.5</v>
      </c>
      <c r="F68" s="125">
        <f>D68*0.05</f>
        <v>0.5</v>
      </c>
      <c r="G68" s="184" t="s">
        <v>610</v>
      </c>
      <c r="H68" s="151" t="s">
        <v>240</v>
      </c>
      <c r="J68" s="394">
        <v>75</v>
      </c>
      <c r="K68" s="80">
        <f>IF(ISERROR(C68*1),-1,C68+IF(LEFT(A68)="T",Bonuses!$BR$3,IF(LEFT(A68)="G",Bonuses!$BS$3,IF(LEFT(A68)="Q",Bonuses!$BT$3,IF(LEFT(A68)="S",Bonuses!$BU$3,IF(LEFT(A68)="R",Bonuses!$BV$3,0))))))+P68</f>
        <v>0</v>
      </c>
      <c r="L68" s="80">
        <v>0</v>
      </c>
      <c r="M68" s="75">
        <f>2*Stats!$I$3</f>
        <v>10</v>
      </c>
      <c r="N68" s="75">
        <v>5</v>
      </c>
      <c r="O68" s="380"/>
      <c r="P68" s="380"/>
    </row>
    <row r="69" spans="1:23" x14ac:dyDescent="0.2">
      <c r="A69" s="95" t="s">
        <v>611</v>
      </c>
      <c r="B69" s="79" t="s">
        <v>612</v>
      </c>
      <c r="C69" s="126">
        <v>0</v>
      </c>
      <c r="D69" s="125">
        <f>M69+O69+(K69*N69)+IF(OR(LEFT(A69)="G",LEFT(A69)="S"),Stats!$E$3-15+Bonuses!$BO$3,IF(OR(LEFT(A69)="Q",LEFT(A69)="R"),Bonuses!$BQ$3,Bonuses!$BP$3))</f>
        <v>5</v>
      </c>
      <c r="E69" s="125">
        <f t="shared" si="7"/>
        <v>0.75</v>
      </c>
      <c r="F69" s="125">
        <f t="shared" ref="F69:F120" si="8">D69*0.05</f>
        <v>0.25</v>
      </c>
      <c r="G69" s="84"/>
      <c r="H69" s="151" t="s">
        <v>240</v>
      </c>
      <c r="I69" s="94" t="str">
        <f>CONCATENATE(50+(3*K69),"% -3/Rk of Target Magic")</f>
        <v>50% -3/Rk of Target Magic</v>
      </c>
      <c r="J69" s="394">
        <v>75</v>
      </c>
      <c r="K69" s="80">
        <f>IF(ISERROR(C69*1),-1,C69+IF(LEFT(A69)="T",Bonuses!$BR$3,IF(LEFT(A69)="G",Bonuses!$BS$3,IF(LEFT(A69)="Q",Bonuses!$BT$3,IF(LEFT(A69)="S",Bonuses!$BU$3,IF(LEFT(A69)="R",Bonuses!$BV$3,0))))))+P69</f>
        <v>0</v>
      </c>
      <c r="L69" s="80">
        <v>0</v>
      </c>
      <c r="M69" s="75">
        <f>Stats!$I$3</f>
        <v>5</v>
      </c>
      <c r="N69" s="75">
        <v>3</v>
      </c>
      <c r="O69" s="380"/>
      <c r="P69" s="380"/>
    </row>
    <row r="70" spans="1:23" x14ac:dyDescent="0.2">
      <c r="A70" s="95" t="s">
        <v>251</v>
      </c>
      <c r="B70" s="79" t="s">
        <v>613</v>
      </c>
      <c r="C70" s="126">
        <v>0</v>
      </c>
      <c r="D70" s="125">
        <f>M70+O70+(K70*N70)+IF(OR(LEFT(A70)="G",LEFT(A70)="S"),Stats!$E$3-15+Bonuses!$BO$3,IF(OR(LEFT(A70)="Q",LEFT(A70)="R"),Bonuses!$BQ$3,Bonuses!$BP$3))</f>
        <v>50</v>
      </c>
      <c r="E70" s="125">
        <f t="shared" si="7"/>
        <v>7.5</v>
      </c>
      <c r="F70" s="125">
        <f t="shared" si="8"/>
        <v>2.5</v>
      </c>
      <c r="G70" s="84"/>
      <c r="H70" s="85"/>
      <c r="K70" s="80">
        <f>IF(ISERROR(C70*1),-1,C70+IF(LEFT(A70)="T",Bonuses!$BR$3,IF(LEFT(A70)="G",Bonuses!$BS$3,IF(LEFT(A70)="Q",Bonuses!$BT$3,IF(LEFT(A70)="S",Bonuses!$BU$3,IF(LEFT(A70)="R",Bonuses!$BV$3,0))))))+P70</f>
        <v>0</v>
      </c>
      <c r="L70" s="80">
        <v>1</v>
      </c>
      <c r="M70" s="75">
        <v>50</v>
      </c>
      <c r="N70" s="75">
        <v>3</v>
      </c>
      <c r="O70" s="380"/>
      <c r="P70" s="380"/>
      <c r="Q70" s="86">
        <f>MAX((MAX(Stats!$E$2,Ranking!$C$13)-15)*5,0)</f>
        <v>0</v>
      </c>
      <c r="R70" s="83">
        <v>300</v>
      </c>
    </row>
    <row r="71" spans="1:23" x14ac:dyDescent="0.2">
      <c r="A71" s="95" t="s">
        <v>298</v>
      </c>
      <c r="B71" s="79" t="s">
        <v>252</v>
      </c>
      <c r="C71" s="126">
        <v>0</v>
      </c>
      <c r="D71" s="254">
        <f>M71+O71+(K71*N71)+IF(OR(LEFT(A71)="G",LEFT(A71)="S"),Stats!$E$3-15+Bonuses!$BO$3,IF(OR(LEFT(A71)="Q",LEFT(A71)="R"),Bonuses!$BQ$3,Bonuses!$BP$3))</f>
        <v>30</v>
      </c>
      <c r="E71" s="125">
        <f t="shared" si="7"/>
        <v>4.5</v>
      </c>
      <c r="F71" s="125">
        <f t="shared" si="8"/>
        <v>1.5</v>
      </c>
      <c r="G71" s="84"/>
      <c r="H71" s="88" t="str">
        <f>4+(4*K71)&amp;" Hours"</f>
        <v>4 Hours</v>
      </c>
      <c r="I71" s="94" t="str">
        <f>CONCATENATE("+ ",K71," MR. +",TRUNC(K71/5)," MA.")</f>
        <v>+ 0 MR. +0 MA.</v>
      </c>
      <c r="J71" s="394">
        <v>200</v>
      </c>
      <c r="K71" s="80">
        <f>IF(ISERROR(C71*1),-1,C71+IF(LEFT(A71)="T",Bonuses!$BR$3,IF(LEFT(A71)="G",Bonuses!$BS$3,IF(LEFT(A71)="Q",Bonuses!$BT$3,IF(LEFT(A71)="S",Bonuses!$BU$3,IF(LEFT(A71)="R",Bonuses!$BV$3,0))))))+P71</f>
        <v>0</v>
      </c>
      <c r="L71" s="80">
        <v>1</v>
      </c>
      <c r="M71" s="89">
        <f>Stats!$E$3+Stats!$F$3</f>
        <v>30</v>
      </c>
      <c r="N71" s="75">
        <v>3</v>
      </c>
      <c r="O71" s="381">
        <f>Names!$D$2+SUMIF(Names!$A$2:$A$223,Setup!$B$3,Names!$D$2:$D$223)</f>
        <v>0</v>
      </c>
      <c r="P71" s="381"/>
      <c r="Q71" s="86">
        <f>MAX((MAX(Stats!$E$2,Ranking!$C$13)-15)*5,0)</f>
        <v>0</v>
      </c>
      <c r="R71" s="83">
        <v>300</v>
      </c>
    </row>
    <row r="72" spans="1:23" x14ac:dyDescent="0.2">
      <c r="A72" s="95" t="s">
        <v>253</v>
      </c>
      <c r="B72" s="79" t="s">
        <v>614</v>
      </c>
      <c r="C72" s="126" t="s">
        <v>283</v>
      </c>
      <c r="D72" s="125">
        <f>M72+O72+(K72*N72)+IF(OR(LEFT(A72)="G",LEFT(A72)="S"),Stats!$E$3-15+Bonuses!$BO$3,IF(OR(LEFT(A72)="Q",LEFT(A72)="R"),Bonuses!$BQ$3,Bonuses!$BP$3))</f>
        <v>27</v>
      </c>
      <c r="E72" s="125">
        <f t="shared" si="7"/>
        <v>4.05</v>
      </c>
      <c r="F72" s="125">
        <f t="shared" si="8"/>
        <v>1.35</v>
      </c>
      <c r="G72" s="84" t="str">
        <f>10*(1+K72)&amp;" Feet"</f>
        <v>0 Feet</v>
      </c>
      <c r="H72" s="85" t="str">
        <f>30+(5*K72)&amp;" Secs"</f>
        <v>25 Secs</v>
      </c>
      <c r="I72" s="84" t="str">
        <f>-5-(3*K72)&amp;"% Cast Chance in "&amp;15+10*ROUNDDOWN(K72/5,0)&amp;"' diameter."</f>
        <v>-2% Cast Chance in 15' diameter.</v>
      </c>
      <c r="J72" s="394">
        <v>300</v>
      </c>
      <c r="K72" s="80">
        <f>IF(ISERROR(C72*1),-1,C72+IF(LEFT(A72)="T",Bonuses!$BR$3,IF(LEFT(A72)="G",Bonuses!$BS$3,IF(LEFT(A72)="Q",Bonuses!$BT$3,IF(LEFT(A72)="S",Bonuses!$BU$3,IF(LEFT(A72)="R",Bonuses!$BV$3,0))))))+P72</f>
        <v>-1</v>
      </c>
      <c r="L72" s="80">
        <v>1</v>
      </c>
      <c r="M72" s="75">
        <v>30</v>
      </c>
      <c r="N72" s="75">
        <v>3</v>
      </c>
      <c r="O72" s="380"/>
      <c r="P72" s="380"/>
      <c r="Q72" s="86"/>
      <c r="R72" s="83">
        <v>12000</v>
      </c>
    </row>
    <row r="73" spans="1:23" x14ac:dyDescent="0.2">
      <c r="A73" s="95" t="s">
        <v>254</v>
      </c>
      <c r="B73" s="79" t="s">
        <v>615</v>
      </c>
      <c r="C73" s="126" t="s">
        <v>283</v>
      </c>
      <c r="D73" s="254">
        <f>M73+O73+(K73*N73)+IF(OR(LEFT(A73)="G",LEFT(A73)="S"),Stats!$E$3-15+Bonuses!$BO$3,IF(OR(LEFT(A73)="Q",LEFT(A73)="R"),Bonuses!$BQ$3,Bonuses!$BP$3))</f>
        <v>17</v>
      </c>
      <c r="E73" s="125">
        <f t="shared" si="7"/>
        <v>2.5499999999999998</v>
      </c>
      <c r="F73" s="125">
        <f t="shared" si="8"/>
        <v>0.85000000000000009</v>
      </c>
      <c r="G73" s="84" t="s">
        <v>616</v>
      </c>
      <c r="H73" s="85" t="str">
        <f>10+(10*K73)&amp;" Secs"</f>
        <v>0 Secs</v>
      </c>
      <c r="J73" s="394">
        <v>200</v>
      </c>
      <c r="K73" s="80">
        <f>IF(ISERROR(C73*1),-1,C73+IF(LEFT(A73)="T",Bonuses!$BR$3,IF(LEFT(A73)="G",Bonuses!$BS$3,IF(LEFT(A73)="Q",Bonuses!$BT$3,IF(LEFT(A73)="S",Bonuses!$BU$3,IF(LEFT(A73)="R",Bonuses!$BV$3,0))))))+P73</f>
        <v>-1</v>
      </c>
      <c r="L73" s="80">
        <v>1</v>
      </c>
      <c r="M73" s="75">
        <v>20</v>
      </c>
      <c r="N73" s="75">
        <v>3</v>
      </c>
      <c r="O73" s="381">
        <f>O71</f>
        <v>0</v>
      </c>
      <c r="P73" s="381"/>
      <c r="Q73" s="86"/>
      <c r="R73" s="83">
        <v>2000</v>
      </c>
    </row>
    <row r="74" spans="1:23" x14ac:dyDescent="0.2">
      <c r="A74" s="95" t="s">
        <v>255</v>
      </c>
      <c r="B74" s="79" t="s">
        <v>617</v>
      </c>
      <c r="C74" s="126" t="s">
        <v>283</v>
      </c>
      <c r="D74" s="125">
        <f>M74+O74+(K74*N74)+IF(OR(LEFT(A74)="G",LEFT(A74)="S"),Stats!$E$3-15+Bonuses!$BO$3,IF(OR(LEFT(A74)="Q",LEFT(A74)="R"),Bonuses!$BQ$3,Bonuses!$BP$3))</f>
        <v>47</v>
      </c>
      <c r="E74" s="125">
        <f t="shared" si="7"/>
        <v>7.05</v>
      </c>
      <c r="F74" s="125">
        <f t="shared" si="8"/>
        <v>2.35</v>
      </c>
      <c r="G74" s="84" t="str">
        <f>5*(3+K74)&amp;" Feet"</f>
        <v>10 Feet</v>
      </c>
      <c r="H74" s="85" t="str">
        <f>10+(10*K74)&amp;" Mins"</f>
        <v>0 Mins</v>
      </c>
      <c r="I74" s="94" t="str">
        <f>CONCATENATE(1+ROUND(K74/4,0)," Targets")</f>
        <v>1 Targets</v>
      </c>
      <c r="J74" s="394">
        <v>400</v>
      </c>
      <c r="K74" s="80">
        <f>IF(ISERROR(C74*1),-1,C74+IF(LEFT(A74)="T",Bonuses!$BR$3,IF(LEFT(A74)="G",Bonuses!$BS$3,IF(LEFT(A74)="Q",Bonuses!$BT$3,IF(LEFT(A74)="S",Bonuses!$BU$3,IF(LEFT(A74)="R",Bonuses!$BV$3,0))))))+P74</f>
        <v>-1</v>
      </c>
      <c r="L74" s="80">
        <v>1</v>
      </c>
      <c r="M74" s="75">
        <v>50</v>
      </c>
      <c r="N74" s="75">
        <v>3</v>
      </c>
      <c r="O74" s="380"/>
      <c r="P74" s="380"/>
      <c r="Q74" s="86"/>
      <c r="R74" s="83">
        <v>10000</v>
      </c>
    </row>
    <row r="75" spans="1:23" x14ac:dyDescent="0.2">
      <c r="A75" s="95" t="s">
        <v>256</v>
      </c>
      <c r="B75" s="79" t="s">
        <v>618</v>
      </c>
      <c r="C75" s="126" t="s">
        <v>283</v>
      </c>
      <c r="D75" s="125">
        <f>M75+O75+(K75*N75)+IF(OR(LEFT(A75)="G",LEFT(A75)="S"),Stats!$E$3-15+Bonuses!$BO$3,IF(OR(LEFT(A75)="Q",LEFT(A75)="R"),Bonuses!$BQ$3,Bonuses!$BP$3))</f>
        <v>37</v>
      </c>
      <c r="E75" s="125">
        <f t="shared" si="7"/>
        <v>5.55</v>
      </c>
      <c r="F75" s="125">
        <f t="shared" si="8"/>
        <v>1.85</v>
      </c>
      <c r="G75" s="84" t="str">
        <f>10*(1+K75)&amp;" Feet"</f>
        <v>0 Feet</v>
      </c>
      <c r="H75" s="85" t="str">
        <f>1+K75&amp;" Mins"</f>
        <v>0 Mins</v>
      </c>
      <c r="J75" s="394">
        <v>300</v>
      </c>
      <c r="K75" s="80">
        <f>IF(ISERROR(C75*1),-1,C75+IF(LEFT(A75)="T",Bonuses!$BR$3,IF(LEFT(A75)="G",Bonuses!$BS$3,IF(LEFT(A75)="Q",Bonuses!$BT$3,IF(LEFT(A75)="S",Bonuses!$BU$3,IF(LEFT(A75)="R",Bonuses!$BV$3,0))))))+P75</f>
        <v>-1</v>
      </c>
      <c r="L75" s="80">
        <v>1</v>
      </c>
      <c r="M75" s="75">
        <v>40</v>
      </c>
      <c r="N75" s="75">
        <v>3</v>
      </c>
      <c r="O75" s="380"/>
      <c r="P75" s="380"/>
      <c r="Q75" s="86"/>
      <c r="R75" s="83">
        <v>8000</v>
      </c>
    </row>
    <row r="76" spans="1:23" x14ac:dyDescent="0.2">
      <c r="A76" s="95" t="s">
        <v>257</v>
      </c>
      <c r="B76" s="79" t="s">
        <v>619</v>
      </c>
      <c r="C76" s="126" t="s">
        <v>283</v>
      </c>
      <c r="D76" s="254">
        <f>M76+O76+(K76*N76)+IF(OR(LEFT(A76)="G",LEFT(A76)="S"),Stats!$E$3-15+Bonuses!$BO$3,IF(OR(LEFT(A76)="Q",LEFT(A76)="R"),Bonuses!$BQ$3,Bonuses!$BP$3))</f>
        <v>27</v>
      </c>
      <c r="E76" s="125">
        <f t="shared" si="7"/>
        <v>4.05</v>
      </c>
      <c r="F76" s="125">
        <f t="shared" si="8"/>
        <v>1.35</v>
      </c>
      <c r="G76" s="84" t="s">
        <v>616</v>
      </c>
      <c r="H76" s="84" t="str">
        <f>5+(5*ROUND(K76/4,0))&amp;" Secs"</f>
        <v>5 Secs</v>
      </c>
      <c r="I76" s="94" t="str">
        <f>CONCATENATE(50+(3*K76),"% -3/Rk of Target Magic")</f>
        <v>47% -3/Rk of Target Magic</v>
      </c>
      <c r="J76" s="394">
        <v>400</v>
      </c>
      <c r="K76" s="80">
        <f>IF(ISERROR(C76*1),-1,C76+IF(LEFT(A76)="T",Bonuses!$BR$3,IF(LEFT(A76)="G",Bonuses!$BS$3,IF(LEFT(A76)="Q",Bonuses!$BT$3,IF(LEFT(A76)="S",Bonuses!$BU$3,IF(LEFT(A76)="R",Bonuses!$BV$3,0))))))+P76</f>
        <v>-1</v>
      </c>
      <c r="L76" s="80">
        <v>1</v>
      </c>
      <c r="M76" s="75">
        <v>30</v>
      </c>
      <c r="N76" s="75">
        <v>3</v>
      </c>
      <c r="O76" s="381">
        <f>O71</f>
        <v>0</v>
      </c>
      <c r="P76" s="381"/>
      <c r="Q76" s="86"/>
      <c r="R76" s="83">
        <v>15000</v>
      </c>
    </row>
    <row r="77" spans="1:23" x14ac:dyDescent="0.2">
      <c r="A77" s="95" t="s">
        <v>258</v>
      </c>
      <c r="B77" s="79" t="s">
        <v>620</v>
      </c>
      <c r="C77" s="126" t="s">
        <v>283</v>
      </c>
      <c r="D77" s="125">
        <f>M77+O77+(K77*N77)+IF(OR(LEFT(A77)="G",LEFT(A77)="S"),Stats!$E$3-15+Bonuses!$BO$3,IF(OR(LEFT(A77)="Q",LEFT(A77)="R"),Bonuses!$BQ$3,Bonuses!$BP$3))</f>
        <v>32</v>
      </c>
      <c r="E77" s="125">
        <f t="shared" si="7"/>
        <v>4.8</v>
      </c>
      <c r="F77" s="125">
        <f t="shared" si="8"/>
        <v>1.6</v>
      </c>
      <c r="G77" s="84" t="str">
        <f>10*(1+K77)&amp;" Feet"</f>
        <v>0 Feet</v>
      </c>
      <c r="H77" s="85" t="str">
        <f>10+(10*K77)&amp;" Mins"</f>
        <v>0 Mins</v>
      </c>
      <c r="I77" s="84" t="str">
        <f>"Wall 10'x20' +"&amp;K77&amp;"' GTN or ITN (D-4+"&amp;K77&amp;")"</f>
        <v>Wall 10'x20' +-1' GTN or ITN (D-4+-1)</v>
      </c>
      <c r="J77" s="394">
        <v>250</v>
      </c>
      <c r="K77" s="80">
        <f>IF(ISERROR(C77*1),-1,C77+IF(LEFT(A77)="T",Bonuses!$BR$3,IF(LEFT(A77)="G",Bonuses!$BS$3,IF(LEFT(A77)="Q",Bonuses!$BT$3,IF(LEFT(A77)="S",Bonuses!$BU$3,IF(LEFT(A77)="R",Bonuses!$BV$3,0))))))+P77</f>
        <v>-1</v>
      </c>
      <c r="L77" s="80">
        <v>1</v>
      </c>
      <c r="M77" s="75">
        <v>35</v>
      </c>
      <c r="N77" s="75">
        <v>3</v>
      </c>
      <c r="O77" s="380"/>
      <c r="P77" s="380"/>
      <c r="Q77" s="86"/>
      <c r="R77" s="83">
        <v>4000</v>
      </c>
    </row>
    <row r="78" spans="1:23" x14ac:dyDescent="0.2">
      <c r="A78" s="95" t="s">
        <v>259</v>
      </c>
      <c r="B78" s="79" t="s">
        <v>621</v>
      </c>
      <c r="C78" s="126" t="s">
        <v>283</v>
      </c>
      <c r="D78" s="254">
        <f>M78+O78+(K78*N78)+IF(OR(LEFT(A78)="G",LEFT(A78)="S"),Stats!$E$3-15+Bonuses!$BO$3,IF(OR(LEFT(A78)="Q",LEFT(A78)="R"),Bonuses!$BQ$3,Bonuses!$BP$3))</f>
        <v>37</v>
      </c>
      <c r="E78" s="125">
        <f t="shared" si="7"/>
        <v>5.55</v>
      </c>
      <c r="F78" s="125">
        <f t="shared" si="8"/>
        <v>1.85</v>
      </c>
      <c r="G78" s="84" t="s">
        <v>616</v>
      </c>
      <c r="H78" s="85" t="str">
        <f>5+(5*K78)&amp;" Mins"</f>
        <v>0 Mins</v>
      </c>
      <c r="I78" s="84" t="str">
        <f>""&amp;10*(1+K78)&amp;"' Conc. see Prep/Res. 2xPC for detail."</f>
        <v>0' Conc. see Prep/Res. 2xPC for detail.</v>
      </c>
      <c r="J78" s="394">
        <v>200</v>
      </c>
      <c r="K78" s="80">
        <f>IF(ISERROR(C78*1),-1,C78+IF(LEFT(A78)="T",Bonuses!$BR$3,IF(LEFT(A78)="G",Bonuses!$BS$3,IF(LEFT(A78)="Q",Bonuses!$BT$3,IF(LEFT(A78)="S",Bonuses!$BU$3,IF(LEFT(A78)="R",Bonuses!$BV$3,0))))))+P78</f>
        <v>-1</v>
      </c>
      <c r="L78" s="80">
        <v>1</v>
      </c>
      <c r="M78" s="75">
        <v>40</v>
      </c>
      <c r="N78" s="75">
        <v>3</v>
      </c>
      <c r="O78" s="381">
        <f>O71</f>
        <v>0</v>
      </c>
      <c r="P78" s="381"/>
      <c r="Q78" s="86"/>
      <c r="R78" s="83">
        <v>3000</v>
      </c>
    </row>
    <row r="79" spans="1:23" x14ac:dyDescent="0.2">
      <c r="A79" s="96" t="s">
        <v>260</v>
      </c>
      <c r="B79" s="87" t="s">
        <v>622</v>
      </c>
      <c r="C79" s="126" t="s">
        <v>283</v>
      </c>
      <c r="D79" s="125">
        <f>M79+O79+(K79*N79)+IF(OR(LEFT(A79)="G",LEFT(A79)="S"),Stats!$E$3-15+Bonuses!$BO$3,IF(OR(LEFT(A79)="Q",LEFT(A79)="R"),Bonuses!$BQ$3,Bonuses!$BP$3))</f>
        <v>37</v>
      </c>
      <c r="E79" s="125">
        <f t="shared" si="7"/>
        <v>5.55</v>
      </c>
      <c r="F79" s="125">
        <f t="shared" si="8"/>
        <v>1.85</v>
      </c>
      <c r="G79" s="84" t="str">
        <f>10+(5*K79)&amp;" Feet"</f>
        <v>5 Feet</v>
      </c>
      <c r="H79" s="85" t="str">
        <f>10+(10*K79)&amp;" Mins"</f>
        <v>0 Mins</v>
      </c>
      <c r="I79" s="84" t="str">
        <f>"10 hr ritual for "&amp;4+K79&amp;" weeks duration."</f>
        <v>10 hr ritual for 3 weeks duration.</v>
      </c>
      <c r="J79" s="395">
        <v>300</v>
      </c>
      <c r="K79" s="80">
        <f>IF(ISERROR(C79*1),-1,C79+IF(LEFT(A79)="T",Bonuses!$BR$3,IF(LEFT(A79)="G",Bonuses!$BS$3,IF(LEFT(A79)="Q",Bonuses!$BT$3,IF(LEFT(A79)="S",Bonuses!$BU$3,IF(LEFT(A79)="R",Bonuses!$BV$3,0))))))+P79</f>
        <v>-1</v>
      </c>
      <c r="L79" s="80">
        <v>1</v>
      </c>
      <c r="M79" s="89">
        <v>40</v>
      </c>
      <c r="N79" s="75">
        <v>3</v>
      </c>
      <c r="O79" s="380"/>
      <c r="P79" s="380"/>
      <c r="Q79" s="86"/>
      <c r="R79" s="83">
        <v>15000</v>
      </c>
    </row>
    <row r="80" spans="1:23" x14ac:dyDescent="0.2">
      <c r="A80" s="96" t="s">
        <v>261</v>
      </c>
      <c r="B80" s="87" t="s">
        <v>623</v>
      </c>
      <c r="C80" s="126" t="s">
        <v>283</v>
      </c>
      <c r="D80" s="125">
        <f>M80+O80+(K80*N80)+IF(OR(LEFT(A80)="G",LEFT(A80)="S"),Stats!$E$3-15+Bonuses!$BO$3,IF(OR(LEFT(A80)="Q",LEFT(A80)="R"),Bonuses!$BQ$3,Bonuses!$BP$3))</f>
        <v>37</v>
      </c>
      <c r="E80" s="125">
        <f t="shared" si="7"/>
        <v>5.55</v>
      </c>
      <c r="F80" s="125">
        <f t="shared" si="8"/>
        <v>1.85</v>
      </c>
      <c r="G80" s="84" t="str">
        <f>10+(5*K80)&amp;" Feet"</f>
        <v>5 Feet</v>
      </c>
      <c r="H80" s="85" t="str">
        <f>1+K80&amp;" Mins"</f>
        <v>0 Mins</v>
      </c>
      <c r="I80" s="84" t="str">
        <f>"Wall 10'x20', Ring 10'x5'r +"&amp;K80&amp;"' "&amp;40+3*K80&amp;"% -3/rk"</f>
        <v>Wall 10'x20', Ring 10'x5'r +-1' 37% -3/rk</v>
      </c>
      <c r="J80" s="395">
        <v>300</v>
      </c>
      <c r="K80" s="80">
        <f>IF(ISERROR(C80*1),-1,C80+IF(LEFT(A80)="T",Bonuses!$BR$3,IF(LEFT(A80)="G",Bonuses!$BS$3,IF(LEFT(A80)="Q",Bonuses!$BT$3,IF(LEFT(A80)="S",Bonuses!$BU$3,IF(LEFT(A80)="R",Bonuses!$BV$3,0))))))+P80</f>
        <v>-1</v>
      </c>
      <c r="L80" s="80">
        <v>1</v>
      </c>
      <c r="M80" s="89">
        <v>40</v>
      </c>
      <c r="N80" s="75">
        <v>3</v>
      </c>
      <c r="O80" s="380"/>
      <c r="P80" s="380"/>
      <c r="Q80" s="86"/>
      <c r="R80" s="83">
        <v>7500</v>
      </c>
    </row>
    <row r="81" spans="1:19" x14ac:dyDescent="0.2">
      <c r="A81" s="95" t="s">
        <v>262</v>
      </c>
      <c r="B81" s="79" t="s">
        <v>624</v>
      </c>
      <c r="C81" s="126" t="s">
        <v>283</v>
      </c>
      <c r="D81" s="125">
        <f>M81+O81+(K81*N81)+IF(OR(LEFT(A81)="G",LEFT(A81)="S"),Stats!$E$3-15+Bonuses!$BO$3,IF(OR(LEFT(A81)="Q",LEFT(A81)="R"),Bonuses!$BQ$3,Bonuses!$BP$3))</f>
        <v>27</v>
      </c>
      <c r="E81" s="125">
        <f t="shared" si="7"/>
        <v>4.05</v>
      </c>
      <c r="F81" s="125">
        <f t="shared" si="8"/>
        <v>1.35</v>
      </c>
      <c r="G81" s="84" t="str">
        <f>10+(5*ROUND(K81/2,0))&amp;" Feet"</f>
        <v>5 Feet</v>
      </c>
      <c r="H81" s="85" t="str">
        <f>30+(10*K81)&amp;" Secs"</f>
        <v>20 Secs</v>
      </c>
      <c r="I81" s="84" t="s">
        <v>1373</v>
      </c>
      <c r="J81" s="394">
        <v>300</v>
      </c>
      <c r="K81" s="80">
        <f>IF(ISERROR(C81*1),-1,C81+IF(LEFT(A81)="T",Bonuses!$BR$3,IF(LEFT(A81)="G",Bonuses!$BS$3,IF(LEFT(A81)="Q",Bonuses!$BT$3,IF(LEFT(A81)="S",Bonuses!$BU$3,IF(LEFT(A81)="R",Bonuses!$BV$3,0))))))+P81</f>
        <v>-1</v>
      </c>
      <c r="L81" s="80">
        <v>7</v>
      </c>
      <c r="M81" s="89">
        <f>Stats!$E$3*2</f>
        <v>30</v>
      </c>
      <c r="N81" s="75">
        <v>3</v>
      </c>
      <c r="O81" s="380"/>
      <c r="P81" s="380"/>
      <c r="Q81" s="86"/>
      <c r="R81" s="83">
        <v>6000</v>
      </c>
    </row>
    <row r="82" spans="1:19" s="92" customFormat="1" x14ac:dyDescent="0.2">
      <c r="A82" s="96" t="s">
        <v>625</v>
      </c>
      <c r="B82" s="87" t="s">
        <v>626</v>
      </c>
      <c r="C82" s="126" t="s">
        <v>283</v>
      </c>
      <c r="D82" s="125">
        <f>M82+O82+(K82*N82)+IF(OR(LEFT(A82)="G",LEFT(A82)="S"),Stats!$E$3-15+Bonuses!$BO$3,IF(OR(LEFT(A82)="Q",LEFT(A82)="R"),Bonuses!$BQ$3,Bonuses!$BP$3))</f>
        <v>27</v>
      </c>
      <c r="E82" s="125">
        <f t="shared" si="7"/>
        <v>4.05</v>
      </c>
      <c r="F82" s="125">
        <f>D82*0.05</f>
        <v>1.35</v>
      </c>
      <c r="G82" s="84" t="str">
        <f>5+K82&amp;" Feet"</f>
        <v>4 Feet</v>
      </c>
      <c r="H82" s="88"/>
      <c r="I82" s="84" t="str">
        <f>D82-8*K82&amp;"% 3 Hrs for Ancient Divination."</f>
        <v>35% 3 Hrs for Ancient Divination.</v>
      </c>
      <c r="J82" s="395">
        <v>250</v>
      </c>
      <c r="K82" s="80">
        <f>IF(ISERROR(C82*1),-1,C82+IF(LEFT(A82)="T",Bonuses!$BR$3,IF(LEFT(A82)="G",Bonuses!$BS$3,IF(LEFT(A82)="Q",Bonuses!$BT$3,IF(LEFT(A82)="S",Bonuses!$BU$3,IF(LEFT(A82)="R",Bonuses!$BV$3,0))))))+P82</f>
        <v>-1</v>
      </c>
      <c r="L82" s="84">
        <v>7</v>
      </c>
      <c r="M82" s="89">
        <f>Stats!$E$3+Stats!$F$3</f>
        <v>30</v>
      </c>
      <c r="N82" s="75">
        <v>3</v>
      </c>
      <c r="O82" s="380"/>
      <c r="P82" s="380"/>
      <c r="Q82" s="86"/>
      <c r="R82" s="91">
        <v>2000</v>
      </c>
      <c r="S82" s="84"/>
    </row>
    <row r="83" spans="1:19" x14ac:dyDescent="0.2">
      <c r="A83" s="95" t="s">
        <v>627</v>
      </c>
      <c r="B83" s="79" t="s">
        <v>628</v>
      </c>
      <c r="C83" s="126" t="s">
        <v>283</v>
      </c>
      <c r="D83" s="125">
        <f>M83+O83+(K83*N83)+IF(OR(LEFT(A83)="G",LEFT(A83)="S"),Stats!$E$3-15+Bonuses!$BO$3,IF(OR(LEFT(A83)="Q",LEFT(A83)="R"),Bonuses!$BQ$3,Bonuses!$BP$3))</f>
        <v>27</v>
      </c>
      <c r="E83" s="125">
        <f t="shared" si="7"/>
        <v>4.05</v>
      </c>
      <c r="F83" s="125">
        <f t="shared" si="8"/>
        <v>1.35</v>
      </c>
      <c r="G83" s="84" t="str">
        <f>5+K83&amp;" Feet"</f>
        <v>4 Feet</v>
      </c>
      <c r="H83" s="84" t="s">
        <v>240</v>
      </c>
      <c r="J83" s="394">
        <v>300</v>
      </c>
      <c r="K83" s="80">
        <f>IF(ISERROR(C83*1),-1,C83+IF(LEFT(A83)="T",Bonuses!$BR$3,IF(LEFT(A83)="G",Bonuses!$BS$3,IF(LEFT(A83)="Q",Bonuses!$BT$3,IF(LEFT(A83)="S",Bonuses!$BU$3,IF(LEFT(A83)="R",Bonuses!$BV$3,0))))))+P83</f>
        <v>-1</v>
      </c>
      <c r="L83" s="80">
        <v>1</v>
      </c>
      <c r="M83" s="75">
        <v>30</v>
      </c>
      <c r="N83" s="75">
        <v>3</v>
      </c>
      <c r="O83" s="380"/>
      <c r="P83" s="380"/>
      <c r="R83" s="83">
        <v>7500</v>
      </c>
    </row>
    <row r="84" spans="1:19" x14ac:dyDescent="0.2">
      <c r="A84" s="95" t="s">
        <v>629</v>
      </c>
      <c r="B84" s="79" t="s">
        <v>630</v>
      </c>
      <c r="C84" s="126" t="s">
        <v>283</v>
      </c>
      <c r="D84" s="125">
        <f>M84+O84+(K84*N84)+IF(OR(LEFT(A84)="G",LEFT(A84)="S"),Stats!$E$3-15+Bonuses!$BO$3,IF(OR(LEFT(A84)="Q",LEFT(A84)="R"),Bonuses!$BQ$3,Bonuses!$BP$3))</f>
        <v>32</v>
      </c>
      <c r="E84" s="125">
        <f t="shared" si="7"/>
        <v>4.8</v>
      </c>
      <c r="F84" s="125">
        <f t="shared" si="8"/>
        <v>1.6</v>
      </c>
      <c r="G84" s="84" t="s">
        <v>631</v>
      </c>
      <c r="H84" s="85" t="s">
        <v>240</v>
      </c>
      <c r="J84" s="394">
        <v>250</v>
      </c>
      <c r="K84" s="80">
        <f>IF(ISERROR(C84*1),-1,C84+IF(LEFT(A84)="T",Bonuses!$BR$3,IF(LEFT(A84)="G",Bonuses!$BS$3,IF(LEFT(A84)="Q",Bonuses!$BT$3,IF(LEFT(A84)="S",Bonuses!$BU$3,IF(LEFT(A84)="R",Bonuses!$BV$3,0))))))+P84</f>
        <v>-1</v>
      </c>
      <c r="L84" s="80">
        <v>1</v>
      </c>
      <c r="M84" s="75">
        <v>35</v>
      </c>
      <c r="N84" s="75">
        <v>3</v>
      </c>
      <c r="O84" s="380"/>
      <c r="P84" s="380"/>
      <c r="R84" s="83">
        <v>7500</v>
      </c>
    </row>
    <row r="85" spans="1:19" x14ac:dyDescent="0.2">
      <c r="A85" s="95" t="s">
        <v>632</v>
      </c>
      <c r="B85" s="79" t="s">
        <v>633</v>
      </c>
      <c r="C85" s="126" t="s">
        <v>283</v>
      </c>
      <c r="D85" s="125">
        <f>M85+O85+(K85*N85)+IF(OR(LEFT(A85)="G",LEFT(A85)="S"),Stats!$E$3-15+Bonuses!$BO$3,IF(OR(LEFT(A85)="Q",LEFT(A85)="R"),Bonuses!$BQ$3,Bonuses!$BP$3))</f>
        <v>8</v>
      </c>
      <c r="E85" s="125">
        <f t="shared" si="7"/>
        <v>1.2</v>
      </c>
      <c r="F85" s="125">
        <f t="shared" si="8"/>
        <v>0.4</v>
      </c>
      <c r="G85" s="84"/>
      <c r="H85" s="85" t="s">
        <v>887</v>
      </c>
      <c r="I85" s="94" t="str">
        <f>"L: "&amp;D85&amp;"% / G: "&amp;D85+(Stats!$E$3-Magic!M85)-(K85*4)&amp;"% / D: "&amp;D85+(Stats!$E$3-Magic!M85)-(K85*5)&amp;"% -cMA"</f>
        <v>L: 8% / G: 12% / D: 13% -cMA</v>
      </c>
      <c r="J85" s="394">
        <v>500</v>
      </c>
      <c r="K85" s="80">
        <f>IF(ISERROR(C85*1),-1,C85+IF(LEFT(A85)="T",Bonuses!$BR$3,IF(LEFT(A85)="G",Bonuses!$BS$3,IF(LEFT(A85)="Q",Bonuses!$BT$3,IF(LEFT(A85)="S",Bonuses!$BU$3,IF(LEFT(A85)="R",Bonuses!$BV$3,0))))))+P85</f>
        <v>-1</v>
      </c>
      <c r="L85" s="80">
        <v>1</v>
      </c>
      <c r="M85" s="75">
        <v>15</v>
      </c>
      <c r="N85" s="75">
        <v>7</v>
      </c>
      <c r="O85" s="380"/>
      <c r="P85" s="380"/>
      <c r="R85" s="83">
        <v>5000</v>
      </c>
    </row>
    <row r="86" spans="1:19" x14ac:dyDescent="0.2">
      <c r="A86" s="95" t="s">
        <v>634</v>
      </c>
      <c r="B86" s="79" t="s">
        <v>635</v>
      </c>
      <c r="C86" s="126" t="s">
        <v>283</v>
      </c>
      <c r="D86" s="125">
        <f>M86+O86+(K86*N86)+IF(OR(LEFT(A86)="G",LEFT(A86)="S"),Stats!$E$3-15+Bonuses!$BO$3,IF(OR(LEFT(A86)="Q",LEFT(A86)="R"),Bonuses!$BQ$3,Bonuses!$BP$3))</f>
        <v>27</v>
      </c>
      <c r="E86" s="125">
        <f t="shared" si="7"/>
        <v>4.05</v>
      </c>
      <c r="F86" s="125">
        <f t="shared" si="8"/>
        <v>1.35</v>
      </c>
      <c r="G86" s="84" t="str">
        <f>20*(1+K86)&amp;" Feet"</f>
        <v>0 Feet</v>
      </c>
      <c r="H86" s="85" t="str">
        <f>1+K86&amp;" Days"</f>
        <v>0 Days</v>
      </c>
      <c r="J86" s="394">
        <v>300</v>
      </c>
      <c r="K86" s="80">
        <f>IF(ISERROR(C86*1),-1,C86+IF(LEFT(A86)="T",Bonuses!$BR$3,IF(LEFT(A86)="G",Bonuses!$BS$3,IF(LEFT(A86)="Q",Bonuses!$BT$3,IF(LEFT(A86)="S",Bonuses!$BU$3,IF(LEFT(A86)="R",Bonuses!$BV$3,0))))))+P86</f>
        <v>-1</v>
      </c>
      <c r="L86" s="80">
        <v>1</v>
      </c>
      <c r="M86" s="75">
        <v>30</v>
      </c>
      <c r="N86" s="75">
        <v>3</v>
      </c>
      <c r="O86" s="380"/>
      <c r="P86" s="380"/>
      <c r="R86" s="83">
        <v>10000</v>
      </c>
    </row>
    <row r="87" spans="1:19" x14ac:dyDescent="0.2">
      <c r="A87" s="95" t="s">
        <v>636</v>
      </c>
      <c r="B87" s="79" t="s">
        <v>637</v>
      </c>
      <c r="C87" s="126" t="s">
        <v>283</v>
      </c>
      <c r="D87" s="125">
        <f>M87+O87+(K87*N87)+IF(OR(LEFT(A87)="G",LEFT(A87)="S"),Stats!$E$3-15+Bonuses!$BO$3,IF(OR(LEFT(A87)="Q",LEFT(A87)="R"),Bonuses!$BQ$3,Bonuses!$BP$3))</f>
        <v>22</v>
      </c>
      <c r="E87" s="125">
        <f t="shared" si="7"/>
        <v>3.3</v>
      </c>
      <c r="F87" s="125">
        <f t="shared" si="8"/>
        <v>1.1000000000000001</v>
      </c>
      <c r="G87" s="84" t="s">
        <v>638</v>
      </c>
      <c r="H87" s="85" t="s">
        <v>240</v>
      </c>
      <c r="J87" s="394">
        <v>300</v>
      </c>
      <c r="K87" s="80">
        <f>IF(ISERROR(C87*1),-1,C87+IF(LEFT(A87)="T",Bonuses!$BR$3,IF(LEFT(A87)="G",Bonuses!$BS$3,IF(LEFT(A87)="Q",Bonuses!$BT$3,IF(LEFT(A87)="S",Bonuses!$BU$3,IF(LEFT(A87)="R",Bonuses!$BV$3,0))))))+P87</f>
        <v>-1</v>
      </c>
      <c r="L87" s="80">
        <v>1</v>
      </c>
      <c r="M87" s="75">
        <v>25</v>
      </c>
      <c r="N87" s="75">
        <v>3</v>
      </c>
      <c r="O87" s="380"/>
      <c r="P87" s="380"/>
      <c r="R87" s="83">
        <v>3000</v>
      </c>
    </row>
    <row r="88" spans="1:19" x14ac:dyDescent="0.2">
      <c r="A88" s="95" t="s">
        <v>639</v>
      </c>
      <c r="B88" s="79" t="s">
        <v>640</v>
      </c>
      <c r="C88" s="126" t="s">
        <v>283</v>
      </c>
      <c r="D88" s="125">
        <f>M88+O88+(K88*N88)+IF(OR(LEFT(A88)="G",LEFT(A88)="S"),Stats!$E$3-15+Bonuses!$BO$3,IF(OR(LEFT(A88)="Q",LEFT(A88)="R"),Bonuses!$BQ$3,Bonuses!$BP$3))</f>
        <v>27</v>
      </c>
      <c r="E88" s="125">
        <f t="shared" si="7"/>
        <v>4.05</v>
      </c>
      <c r="F88" s="125">
        <f t="shared" si="8"/>
        <v>1.35</v>
      </c>
      <c r="G88" s="84" t="s">
        <v>631</v>
      </c>
      <c r="H88" s="255" t="s">
        <v>641</v>
      </c>
      <c r="J88" s="394">
        <v>300</v>
      </c>
      <c r="K88" s="80">
        <f>IF(ISERROR(C88*1),-1,C88+IF(LEFT(A88)="T",Bonuses!$BR$3,IF(LEFT(A88)="G",Bonuses!$BS$3,IF(LEFT(A88)="Q",Bonuses!$BT$3,IF(LEFT(A88)="S",Bonuses!$BU$3,IF(LEFT(A88)="R",Bonuses!$BV$3,0))))))+P88</f>
        <v>-1</v>
      </c>
      <c r="L88" s="80">
        <v>1</v>
      </c>
      <c r="M88" s="75">
        <v>30</v>
      </c>
      <c r="N88" s="75">
        <v>3</v>
      </c>
      <c r="O88" s="380"/>
      <c r="P88" s="380"/>
      <c r="R88" s="83">
        <v>15000</v>
      </c>
    </row>
    <row r="89" spans="1:19" x14ac:dyDescent="0.2">
      <c r="A89" s="96" t="s">
        <v>268</v>
      </c>
      <c r="B89" s="79" t="s">
        <v>642</v>
      </c>
      <c r="C89" s="126">
        <v>0</v>
      </c>
      <c r="D89" s="125">
        <f>M89+O89+(K89*N89)+IF(OR(LEFT(A89)="G",LEFT(A89)="S"),Stats!$E$3-15+Bonuses!$BO$3,IF(OR(LEFT(A89)="Q",LEFT(A89)="R"),Bonuses!$BQ$3,Bonuses!$BP$3))</f>
        <v>40</v>
      </c>
      <c r="E89" s="125">
        <f t="shared" si="7"/>
        <v>6</v>
      </c>
      <c r="F89" s="125">
        <f t="shared" si="8"/>
        <v>2</v>
      </c>
      <c r="G89" s="84" t="str">
        <f t="shared" ref="G89:G120" si="9">25+(25*K89)&amp;" Feet"</f>
        <v>25 Feet</v>
      </c>
      <c r="H89" s="88" t="str">
        <f t="shared" ref="H89:H120" si="10">"D+"&amp;5+K89&amp;" Mins"</f>
        <v>D+5 Mins</v>
      </c>
      <c r="I89" s="94" t="str">
        <f t="shared" ref="I89:I119" si="11">"+"&amp;30 + (K89*3)&amp;" to MR."</f>
        <v>+30 to MR.</v>
      </c>
      <c r="J89" s="394">
        <v>100</v>
      </c>
      <c r="K89" s="80">
        <f>IF(ISERROR(C89*1),-1,C89+IF(LEFT(A89)="T",Bonuses!$BR$3,IF(LEFT(A89)="G",Bonuses!$BS$3,IF(LEFT(A89)="Q",Bonuses!$BT$3,IF(LEFT(A89)="S",Bonuses!$BU$3,IF(LEFT(A89)="R",Bonuses!$BV$3,0))))))+P89</f>
        <v>0</v>
      </c>
      <c r="L89" s="80">
        <v>1</v>
      </c>
      <c r="M89" s="75">
        <v>40</v>
      </c>
      <c r="N89" s="75">
        <v>3</v>
      </c>
      <c r="O89" s="380"/>
      <c r="P89" s="380"/>
      <c r="Q89" s="86">
        <f>MAX((MAX(Stats!$E$2,Ranking!$C$13)-15)*5,0)</f>
        <v>0</v>
      </c>
      <c r="R89" s="83">
        <v>300</v>
      </c>
    </row>
    <row r="90" spans="1:19" x14ac:dyDescent="0.2">
      <c r="A90" s="96" t="s">
        <v>268</v>
      </c>
      <c r="B90" s="79" t="s">
        <v>643</v>
      </c>
      <c r="C90" s="126">
        <v>0</v>
      </c>
      <c r="D90" s="125">
        <f>M90+O90+(K90*N90)+IF(OR(LEFT(A90)="G",LEFT(A90)="S"),Stats!$E$3-15+Bonuses!$BO$3,IF(OR(LEFT(A90)="Q",LEFT(A90)="R"),Bonuses!$BQ$3,Bonuses!$BP$3))</f>
        <v>40</v>
      </c>
      <c r="E90" s="125">
        <f t="shared" si="7"/>
        <v>6</v>
      </c>
      <c r="F90" s="125">
        <f t="shared" si="8"/>
        <v>2</v>
      </c>
      <c r="G90" s="84" t="str">
        <f t="shared" si="9"/>
        <v>25 Feet</v>
      </c>
      <c r="H90" s="88" t="str">
        <f t="shared" si="10"/>
        <v>D+5 Mins</v>
      </c>
      <c r="I90" s="94" t="str">
        <f t="shared" si="11"/>
        <v>+30 to MR.</v>
      </c>
      <c r="J90" s="394">
        <v>200</v>
      </c>
      <c r="K90" s="80">
        <f>IF(ISERROR(C90*1),-1,C90+IF(LEFT(A90)="T",Bonuses!$BR$3,IF(LEFT(A90)="G",Bonuses!$BS$3,IF(LEFT(A90)="Q",Bonuses!$BT$3,IF(LEFT(A90)="S",Bonuses!$BU$3,IF(LEFT(A90)="R",Bonuses!$BV$3,0))))))+P90</f>
        <v>0</v>
      </c>
      <c r="L90" s="80">
        <v>1</v>
      </c>
      <c r="M90" s="75">
        <v>40</v>
      </c>
      <c r="N90" s="75">
        <v>3</v>
      </c>
      <c r="O90" s="380"/>
      <c r="P90" s="380"/>
      <c r="Q90" s="86">
        <f>MAX((MAX(Stats!$E$2,Ranking!$C$13)-15)*5,0)</f>
        <v>0</v>
      </c>
      <c r="R90" s="83">
        <v>300</v>
      </c>
    </row>
    <row r="91" spans="1:19" x14ac:dyDescent="0.2">
      <c r="A91" s="96" t="s">
        <v>268</v>
      </c>
      <c r="B91" s="79" t="s">
        <v>644</v>
      </c>
      <c r="C91" s="126">
        <v>0</v>
      </c>
      <c r="D91" s="125">
        <f>M91+O91+(K91*N91)+IF(OR(LEFT(A91)="G",LEFT(A91)="S"),Stats!$E$3-15+Bonuses!$BO$3,IF(OR(LEFT(A91)="Q",LEFT(A91)="R"),Bonuses!$BQ$3,Bonuses!$BP$3))</f>
        <v>40</v>
      </c>
      <c r="E91" s="125">
        <f t="shared" si="7"/>
        <v>6</v>
      </c>
      <c r="F91" s="125">
        <f t="shared" si="8"/>
        <v>2</v>
      </c>
      <c r="G91" s="84" t="str">
        <f t="shared" si="9"/>
        <v>25 Feet</v>
      </c>
      <c r="H91" s="88" t="str">
        <f t="shared" si="10"/>
        <v>D+5 Mins</v>
      </c>
      <c r="I91" s="94" t="str">
        <f t="shared" si="11"/>
        <v>+30 to MR.</v>
      </c>
      <c r="J91" s="394">
        <v>100</v>
      </c>
      <c r="K91" s="80">
        <f>IF(ISERROR(C91*1),-1,C91+IF(LEFT(A91)="T",Bonuses!$BR$3,IF(LEFT(A91)="G",Bonuses!$BS$3,IF(LEFT(A91)="Q",Bonuses!$BT$3,IF(LEFT(A91)="S",Bonuses!$BU$3,IF(LEFT(A91)="R",Bonuses!$BV$3,0))))))+P91</f>
        <v>0</v>
      </c>
      <c r="L91" s="80">
        <v>1</v>
      </c>
      <c r="M91" s="75">
        <v>40</v>
      </c>
      <c r="N91" s="75">
        <v>3</v>
      </c>
      <c r="O91" s="380"/>
      <c r="P91" s="380"/>
      <c r="Q91" s="86">
        <f>MAX((MAX(Stats!$E$2,Ranking!$C$13)-15)*5,0)</f>
        <v>0</v>
      </c>
      <c r="R91" s="83">
        <v>300</v>
      </c>
    </row>
    <row r="92" spans="1:19" x14ac:dyDescent="0.2">
      <c r="A92" s="96" t="s">
        <v>268</v>
      </c>
      <c r="B92" s="79" t="s">
        <v>645</v>
      </c>
      <c r="C92" s="126">
        <v>0</v>
      </c>
      <c r="D92" s="125">
        <f>M92+O92+(K92*N92)+IF(OR(LEFT(A92)="G",LEFT(A92)="S"),Stats!$E$3-15+Bonuses!$BO$3,IF(OR(LEFT(A92)="Q",LEFT(A92)="R"),Bonuses!$BQ$3,Bonuses!$BP$3))</f>
        <v>40</v>
      </c>
      <c r="E92" s="125">
        <f t="shared" si="7"/>
        <v>6</v>
      </c>
      <c r="F92" s="125">
        <f t="shared" si="8"/>
        <v>2</v>
      </c>
      <c r="G92" s="84" t="str">
        <f t="shared" si="9"/>
        <v>25 Feet</v>
      </c>
      <c r="H92" s="88" t="str">
        <f t="shared" si="10"/>
        <v>D+5 Mins</v>
      </c>
      <c r="I92" s="94" t="str">
        <f t="shared" si="11"/>
        <v>+30 to MR.</v>
      </c>
      <c r="J92" s="394">
        <v>200</v>
      </c>
      <c r="K92" s="80">
        <f>IF(ISERROR(C92*1),-1,C92+IF(LEFT(A92)="T",Bonuses!$BR$3,IF(LEFT(A92)="G",Bonuses!$BS$3,IF(LEFT(A92)="Q",Bonuses!$BT$3,IF(LEFT(A92)="S",Bonuses!$BU$3,IF(LEFT(A92)="R",Bonuses!$BV$3,0))))))+P92</f>
        <v>0</v>
      </c>
      <c r="L92" s="80">
        <v>1</v>
      </c>
      <c r="M92" s="75">
        <v>40</v>
      </c>
      <c r="N92" s="75">
        <v>3</v>
      </c>
      <c r="O92" s="380"/>
      <c r="P92" s="380"/>
      <c r="Q92" s="86">
        <f>MAX((MAX(Stats!$E$2,Ranking!$C$13)-15)*5,0)</f>
        <v>0</v>
      </c>
      <c r="R92" s="83">
        <v>300</v>
      </c>
    </row>
    <row r="93" spans="1:19" x14ac:dyDescent="0.2">
      <c r="A93" s="96" t="s">
        <v>268</v>
      </c>
      <c r="B93" s="79" t="s">
        <v>646</v>
      </c>
      <c r="C93" s="126">
        <v>0</v>
      </c>
      <c r="D93" s="125">
        <f>M93+O93+(K93*N93)+IF(OR(LEFT(A93)="G",LEFT(A93)="S"),Stats!$E$3-15+Bonuses!$BO$3,IF(OR(LEFT(A93)="Q",LEFT(A93)="R"),Bonuses!$BQ$3,Bonuses!$BP$3))</f>
        <v>40</v>
      </c>
      <c r="E93" s="125">
        <f t="shared" si="7"/>
        <v>6</v>
      </c>
      <c r="F93" s="125">
        <f t="shared" si="8"/>
        <v>2</v>
      </c>
      <c r="G93" s="84" t="str">
        <f t="shared" si="9"/>
        <v>25 Feet</v>
      </c>
      <c r="H93" s="88" t="str">
        <f t="shared" si="10"/>
        <v>D+5 Mins</v>
      </c>
      <c r="I93" s="94" t="str">
        <f t="shared" si="11"/>
        <v>+30 to MR.</v>
      </c>
      <c r="J93" s="394">
        <v>100</v>
      </c>
      <c r="K93" s="80">
        <f>IF(ISERROR(C93*1),-1,C93+IF(LEFT(A93)="T",Bonuses!$BR$3,IF(LEFT(A93)="G",Bonuses!$BS$3,IF(LEFT(A93)="Q",Bonuses!$BT$3,IF(LEFT(A93)="S",Bonuses!$BU$3,IF(LEFT(A93)="R",Bonuses!$BV$3,0))))))+P93</f>
        <v>0</v>
      </c>
      <c r="L93" s="80">
        <v>1</v>
      </c>
      <c r="M93" s="75">
        <v>40</v>
      </c>
      <c r="N93" s="75">
        <v>3</v>
      </c>
      <c r="O93" s="380"/>
      <c r="P93" s="380"/>
      <c r="Q93" s="86">
        <f>MAX((MAX(Stats!$E$2,Ranking!$C$13)-15)*5,0)</f>
        <v>0</v>
      </c>
      <c r="R93" s="83">
        <v>300</v>
      </c>
    </row>
    <row r="94" spans="1:19" x14ac:dyDescent="0.2">
      <c r="A94" s="96" t="s">
        <v>268</v>
      </c>
      <c r="B94" s="79" t="s">
        <v>647</v>
      </c>
      <c r="C94" s="126">
        <v>0</v>
      </c>
      <c r="D94" s="125">
        <f>M94+O94+(K94*N94)+IF(OR(LEFT(A94)="G",LEFT(A94)="S"),Stats!$E$3-15+Bonuses!$BO$3,IF(OR(LEFT(A94)="Q",LEFT(A94)="R"),Bonuses!$BQ$3,Bonuses!$BP$3))</f>
        <v>40</v>
      </c>
      <c r="E94" s="125">
        <f t="shared" si="7"/>
        <v>6</v>
      </c>
      <c r="F94" s="125">
        <f t="shared" si="8"/>
        <v>2</v>
      </c>
      <c r="G94" s="84" t="str">
        <f t="shared" si="9"/>
        <v>25 Feet</v>
      </c>
      <c r="H94" s="88" t="str">
        <f t="shared" si="10"/>
        <v>D+5 Mins</v>
      </c>
      <c r="I94" s="94" t="str">
        <f t="shared" si="11"/>
        <v>+30 to MR.</v>
      </c>
      <c r="J94" s="394">
        <v>200</v>
      </c>
      <c r="K94" s="80">
        <f>IF(ISERROR(C94*1),-1,C94+IF(LEFT(A94)="T",Bonuses!$BR$3,IF(LEFT(A94)="G",Bonuses!$BS$3,IF(LEFT(A94)="Q",Bonuses!$BT$3,IF(LEFT(A94)="S",Bonuses!$BU$3,IF(LEFT(A94)="R",Bonuses!$BV$3,0))))))+P94</f>
        <v>0</v>
      </c>
      <c r="L94" s="80">
        <v>1</v>
      </c>
      <c r="M94" s="75">
        <v>40</v>
      </c>
      <c r="N94" s="75">
        <v>3</v>
      </c>
      <c r="O94" s="380"/>
      <c r="P94" s="380"/>
      <c r="Q94" s="86">
        <f>MAX((MAX(Stats!$E$2,Ranking!$C$13)-15)*5,0)</f>
        <v>0</v>
      </c>
      <c r="R94" s="83">
        <v>300</v>
      </c>
    </row>
    <row r="95" spans="1:19" x14ac:dyDescent="0.2">
      <c r="A95" s="96" t="s">
        <v>268</v>
      </c>
      <c r="B95" s="79" t="s">
        <v>648</v>
      </c>
      <c r="C95" s="126">
        <v>0</v>
      </c>
      <c r="D95" s="125">
        <f>M95+O95+(K95*N95)+IF(OR(LEFT(A95)="G",LEFT(A95)="S"),Stats!$E$3-15+Bonuses!$BO$3,IF(OR(LEFT(A95)="Q",LEFT(A95)="R"),Bonuses!$BQ$3,Bonuses!$BP$3))</f>
        <v>40</v>
      </c>
      <c r="E95" s="125">
        <f t="shared" si="7"/>
        <v>6</v>
      </c>
      <c r="F95" s="125">
        <f t="shared" si="8"/>
        <v>2</v>
      </c>
      <c r="G95" s="84" t="str">
        <f t="shared" si="9"/>
        <v>25 Feet</v>
      </c>
      <c r="H95" s="88" t="str">
        <f t="shared" si="10"/>
        <v>D+5 Mins</v>
      </c>
      <c r="I95" s="94" t="str">
        <f t="shared" si="11"/>
        <v>+30 to MR.</v>
      </c>
      <c r="J95" s="394">
        <v>100</v>
      </c>
      <c r="K95" s="80">
        <f>IF(ISERROR(C95*1),-1,C95+IF(LEFT(A95)="T",Bonuses!$BR$3,IF(LEFT(A95)="G",Bonuses!$BS$3,IF(LEFT(A95)="Q",Bonuses!$BT$3,IF(LEFT(A95)="S",Bonuses!$BU$3,IF(LEFT(A95)="R",Bonuses!$BV$3,0))))))+P95</f>
        <v>0</v>
      </c>
      <c r="L95" s="80">
        <v>1</v>
      </c>
      <c r="M95" s="75">
        <v>40</v>
      </c>
      <c r="N95" s="75">
        <v>3</v>
      </c>
      <c r="O95" s="380"/>
      <c r="P95" s="380"/>
      <c r="Q95" s="86">
        <f>MAX((MAX(Stats!$E$2,Ranking!$C$13)-15)*5,0)</f>
        <v>0</v>
      </c>
      <c r="R95" s="83">
        <v>300</v>
      </c>
    </row>
    <row r="96" spans="1:19" x14ac:dyDescent="0.2">
      <c r="A96" s="96" t="s">
        <v>268</v>
      </c>
      <c r="B96" s="79" t="s">
        <v>649</v>
      </c>
      <c r="C96" s="126">
        <v>0</v>
      </c>
      <c r="D96" s="125">
        <f>M96+O96+(K96*N96)+IF(OR(LEFT(A96)="G",LEFT(A96)="S"),Stats!$E$3-15+Bonuses!$BO$3,IF(OR(LEFT(A96)="Q",LEFT(A96)="R"),Bonuses!$BQ$3,Bonuses!$BP$3))</f>
        <v>40</v>
      </c>
      <c r="E96" s="125">
        <f t="shared" si="7"/>
        <v>6</v>
      </c>
      <c r="F96" s="125">
        <f t="shared" si="8"/>
        <v>2</v>
      </c>
      <c r="G96" s="84" t="str">
        <f t="shared" si="9"/>
        <v>25 Feet</v>
      </c>
      <c r="H96" s="88" t="str">
        <f t="shared" si="10"/>
        <v>D+5 Mins</v>
      </c>
      <c r="I96" s="94" t="str">
        <f t="shared" si="11"/>
        <v>+30 to MR.</v>
      </c>
      <c r="J96" s="394">
        <v>200</v>
      </c>
      <c r="K96" s="80">
        <f>IF(ISERROR(C96*1),-1,C96+IF(LEFT(A96)="T",Bonuses!$BR$3,IF(LEFT(A96)="G",Bonuses!$BS$3,IF(LEFT(A96)="Q",Bonuses!$BT$3,IF(LEFT(A96)="S",Bonuses!$BU$3,IF(LEFT(A96)="R",Bonuses!$BV$3,0))))))+P96</f>
        <v>0</v>
      </c>
      <c r="L96" s="80">
        <v>1</v>
      </c>
      <c r="M96" s="75">
        <v>40</v>
      </c>
      <c r="N96" s="75">
        <v>3</v>
      </c>
      <c r="O96" s="380"/>
      <c r="P96" s="380"/>
      <c r="Q96" s="86">
        <f>MAX((MAX(Stats!$E$2,Ranking!$C$13)-15)*5,0)</f>
        <v>0</v>
      </c>
      <c r="R96" s="83">
        <v>300</v>
      </c>
    </row>
    <row r="97" spans="1:18" x14ac:dyDescent="0.2">
      <c r="A97" s="96" t="s">
        <v>268</v>
      </c>
      <c r="B97" s="79" t="s">
        <v>322</v>
      </c>
      <c r="C97" s="126">
        <v>0</v>
      </c>
      <c r="D97" s="125">
        <f>M97+O97+(K97*N97)+IF(OR(LEFT(A97)="G",LEFT(A97)="S"),Stats!$E$3-15+Bonuses!$BO$3,IF(OR(LEFT(A97)="Q",LEFT(A97)="R"),Bonuses!$BQ$3,Bonuses!$BP$3))</f>
        <v>40</v>
      </c>
      <c r="E97" s="125">
        <f t="shared" si="7"/>
        <v>6</v>
      </c>
      <c r="F97" s="125">
        <f t="shared" si="8"/>
        <v>2</v>
      </c>
      <c r="G97" s="84" t="str">
        <f t="shared" si="9"/>
        <v>25 Feet</v>
      </c>
      <c r="H97" s="88" t="str">
        <f t="shared" si="10"/>
        <v>D+5 Mins</v>
      </c>
      <c r="I97" s="94" t="str">
        <f t="shared" si="11"/>
        <v>+30 to MR.</v>
      </c>
      <c r="J97" s="394">
        <v>100</v>
      </c>
      <c r="K97" s="80">
        <f>IF(ISERROR(C97*1),-1,C97+IF(LEFT(A97)="T",Bonuses!$BR$3,IF(LEFT(A97)="G",Bonuses!$BS$3,IF(LEFT(A97)="Q",Bonuses!$BT$3,IF(LEFT(A97)="S",Bonuses!$BU$3,IF(LEFT(A97)="R",Bonuses!$BV$3,0))))))+P97</f>
        <v>0</v>
      </c>
      <c r="L97" s="80">
        <v>1</v>
      </c>
      <c r="M97" s="75">
        <v>40</v>
      </c>
      <c r="N97" s="75">
        <v>3</v>
      </c>
      <c r="O97" s="380"/>
      <c r="P97" s="380"/>
      <c r="Q97" s="86">
        <f>MAX((MAX(Stats!$E$2,Ranking!$C$13)-15)*5,0)</f>
        <v>0</v>
      </c>
      <c r="R97" s="83">
        <v>300</v>
      </c>
    </row>
    <row r="98" spans="1:18" x14ac:dyDescent="0.2">
      <c r="A98" s="96" t="s">
        <v>268</v>
      </c>
      <c r="B98" s="79" t="s">
        <v>323</v>
      </c>
      <c r="C98" s="126">
        <v>0</v>
      </c>
      <c r="D98" s="125">
        <f>M98+O98+(K98*N98)+IF(OR(LEFT(A98)="G",LEFT(A98)="S"),Stats!$E$3-15+Bonuses!$BO$3,IF(OR(LEFT(A98)="Q",LEFT(A98)="R"),Bonuses!$BQ$3,Bonuses!$BP$3))</f>
        <v>40</v>
      </c>
      <c r="E98" s="125">
        <f t="shared" si="7"/>
        <v>6</v>
      </c>
      <c r="F98" s="125">
        <f t="shared" si="8"/>
        <v>2</v>
      </c>
      <c r="G98" s="84" t="str">
        <f t="shared" si="9"/>
        <v>25 Feet</v>
      </c>
      <c r="H98" s="88" t="str">
        <f t="shared" si="10"/>
        <v>D+5 Mins</v>
      </c>
      <c r="I98" s="94" t="str">
        <f t="shared" si="11"/>
        <v>+30 to MR.</v>
      </c>
      <c r="J98" s="394">
        <v>200</v>
      </c>
      <c r="K98" s="80">
        <f>IF(ISERROR(C98*1),-1,C98+IF(LEFT(A98)="T",Bonuses!$BR$3,IF(LEFT(A98)="G",Bonuses!$BS$3,IF(LEFT(A98)="Q",Bonuses!$BT$3,IF(LEFT(A98)="S",Bonuses!$BU$3,IF(LEFT(A98)="R",Bonuses!$BV$3,0))))))+P98</f>
        <v>0</v>
      </c>
      <c r="L98" s="80">
        <v>1</v>
      </c>
      <c r="M98" s="75">
        <v>40</v>
      </c>
      <c r="N98" s="75">
        <v>3</v>
      </c>
      <c r="O98" s="380"/>
      <c r="P98" s="380"/>
      <c r="Q98" s="86">
        <f>MAX((MAX(Stats!$E$2,Ranking!$C$13)-15)*5,0)</f>
        <v>0</v>
      </c>
      <c r="R98" s="83">
        <v>300</v>
      </c>
    </row>
    <row r="99" spans="1:18" x14ac:dyDescent="0.2">
      <c r="A99" s="96" t="s">
        <v>268</v>
      </c>
      <c r="B99" s="79" t="s">
        <v>650</v>
      </c>
      <c r="C99" s="126">
        <v>0</v>
      </c>
      <c r="D99" s="125">
        <f>M99+O99+(K99*N99)+IF(OR(LEFT(A99)="G",LEFT(A99)="S"),Stats!$E$3-15+Bonuses!$BO$3,IF(OR(LEFT(A99)="Q",LEFT(A99)="R"),Bonuses!$BQ$3,Bonuses!$BP$3))</f>
        <v>40</v>
      </c>
      <c r="E99" s="125">
        <f t="shared" si="7"/>
        <v>6</v>
      </c>
      <c r="F99" s="125">
        <f t="shared" si="8"/>
        <v>2</v>
      </c>
      <c r="G99" s="84" t="str">
        <f t="shared" si="9"/>
        <v>25 Feet</v>
      </c>
      <c r="H99" s="88" t="str">
        <f t="shared" si="10"/>
        <v>D+5 Mins</v>
      </c>
      <c r="I99" s="94" t="str">
        <f t="shared" si="11"/>
        <v>+30 to MR.</v>
      </c>
      <c r="J99" s="394">
        <v>100</v>
      </c>
      <c r="K99" s="80">
        <f>IF(ISERROR(C99*1),-1,C99+IF(LEFT(A99)="T",Bonuses!$BR$3,IF(LEFT(A99)="G",Bonuses!$BS$3,IF(LEFT(A99)="Q",Bonuses!$BT$3,IF(LEFT(A99)="S",Bonuses!$BU$3,IF(LEFT(A99)="R",Bonuses!$BV$3,0))))))+P99</f>
        <v>0</v>
      </c>
      <c r="L99" s="80">
        <v>1</v>
      </c>
      <c r="M99" s="75">
        <v>40</v>
      </c>
      <c r="N99" s="75">
        <v>3</v>
      </c>
      <c r="O99" s="380"/>
      <c r="P99" s="380"/>
      <c r="Q99" s="86">
        <f>MAX((MAX(Stats!$E$2,Ranking!$C$13)-15)*5,0)</f>
        <v>0</v>
      </c>
      <c r="R99" s="83">
        <v>300</v>
      </c>
    </row>
    <row r="100" spans="1:18" x14ac:dyDescent="0.2">
      <c r="A100" s="96" t="s">
        <v>268</v>
      </c>
      <c r="B100" s="79" t="s">
        <v>651</v>
      </c>
      <c r="C100" s="126">
        <v>0</v>
      </c>
      <c r="D100" s="125">
        <f>M100+O100+(K100*N100)+IF(OR(LEFT(A100)="G",LEFT(A100)="S"),Stats!$E$3-15+Bonuses!$BO$3,IF(OR(LEFT(A100)="Q",LEFT(A100)="R"),Bonuses!$BQ$3,Bonuses!$BP$3))</f>
        <v>40</v>
      </c>
      <c r="E100" s="125">
        <f t="shared" si="7"/>
        <v>6</v>
      </c>
      <c r="F100" s="125">
        <f t="shared" si="8"/>
        <v>2</v>
      </c>
      <c r="G100" s="84" t="str">
        <f t="shared" si="9"/>
        <v>25 Feet</v>
      </c>
      <c r="H100" s="88" t="str">
        <f t="shared" si="10"/>
        <v>D+5 Mins</v>
      </c>
      <c r="I100" s="94" t="str">
        <f t="shared" si="11"/>
        <v>+30 to MR.</v>
      </c>
      <c r="J100" s="394">
        <v>200</v>
      </c>
      <c r="K100" s="80">
        <f>IF(ISERROR(C100*1),-1,C100+IF(LEFT(A100)="T",Bonuses!$BR$3,IF(LEFT(A100)="G",Bonuses!$BS$3,IF(LEFT(A100)="Q",Bonuses!$BT$3,IF(LEFT(A100)="S",Bonuses!$BU$3,IF(LEFT(A100)="R",Bonuses!$BV$3,0))))))+P100</f>
        <v>0</v>
      </c>
      <c r="L100" s="80">
        <v>1</v>
      </c>
      <c r="M100" s="75">
        <v>40</v>
      </c>
      <c r="N100" s="75">
        <v>3</v>
      </c>
      <c r="O100" s="380"/>
      <c r="P100" s="380"/>
      <c r="Q100" s="86">
        <f>MAX((MAX(Stats!$E$2,Ranking!$C$13)-15)*5,0)</f>
        <v>0</v>
      </c>
      <c r="R100" s="83">
        <v>300</v>
      </c>
    </row>
    <row r="101" spans="1:18" x14ac:dyDescent="0.2">
      <c r="A101" s="96" t="s">
        <v>268</v>
      </c>
      <c r="B101" s="79" t="s">
        <v>652</v>
      </c>
      <c r="C101" s="126">
        <v>0</v>
      </c>
      <c r="D101" s="125">
        <f>M101+O101+(K101*N101)+IF(OR(LEFT(A101)="G",LEFT(A101)="S"),Stats!$E$3-15+Bonuses!$BO$3,IF(OR(LEFT(A101)="Q",LEFT(A101)="R"),Bonuses!$BQ$3,Bonuses!$BP$3))</f>
        <v>40</v>
      </c>
      <c r="E101" s="125">
        <f t="shared" si="7"/>
        <v>6</v>
      </c>
      <c r="F101" s="125">
        <f t="shared" si="8"/>
        <v>2</v>
      </c>
      <c r="G101" s="84" t="str">
        <f t="shared" si="9"/>
        <v>25 Feet</v>
      </c>
      <c r="H101" s="88" t="str">
        <f t="shared" si="10"/>
        <v>D+5 Mins</v>
      </c>
      <c r="I101" s="94" t="str">
        <f t="shared" si="11"/>
        <v>+30 to MR.</v>
      </c>
      <c r="J101" s="394">
        <v>100</v>
      </c>
      <c r="K101" s="80">
        <f>IF(ISERROR(C101*1),-1,C101+IF(LEFT(A101)="T",Bonuses!$BR$3,IF(LEFT(A101)="G",Bonuses!$BS$3,IF(LEFT(A101)="Q",Bonuses!$BT$3,IF(LEFT(A101)="S",Bonuses!$BU$3,IF(LEFT(A101)="R",Bonuses!$BV$3,0))))))+P101</f>
        <v>0</v>
      </c>
      <c r="L101" s="80">
        <v>1</v>
      </c>
      <c r="M101" s="75">
        <v>40</v>
      </c>
      <c r="N101" s="75">
        <v>3</v>
      </c>
      <c r="O101" s="380"/>
      <c r="P101" s="380"/>
      <c r="Q101" s="86">
        <f>MAX((MAX(Stats!$E$2,Ranking!$C$13)-15)*5,0)</f>
        <v>0</v>
      </c>
      <c r="R101" s="83">
        <v>300</v>
      </c>
    </row>
    <row r="102" spans="1:18" x14ac:dyDescent="0.2">
      <c r="A102" s="96" t="s">
        <v>268</v>
      </c>
      <c r="B102" s="79" t="s">
        <v>653</v>
      </c>
      <c r="C102" s="126">
        <v>0</v>
      </c>
      <c r="D102" s="125">
        <f>M102+O102+(K102*N102)+IF(OR(LEFT(A102)="G",LEFT(A102)="S"),Stats!$E$3-15+Bonuses!$BO$3,IF(OR(LEFT(A102)="Q",LEFT(A102)="R"),Bonuses!$BQ$3,Bonuses!$BP$3))</f>
        <v>40</v>
      </c>
      <c r="E102" s="125">
        <f t="shared" si="7"/>
        <v>6</v>
      </c>
      <c r="F102" s="125">
        <f t="shared" si="8"/>
        <v>2</v>
      </c>
      <c r="G102" s="84" t="str">
        <f t="shared" si="9"/>
        <v>25 Feet</v>
      </c>
      <c r="H102" s="88" t="str">
        <f t="shared" si="10"/>
        <v>D+5 Mins</v>
      </c>
      <c r="I102" s="94" t="str">
        <f t="shared" si="11"/>
        <v>+30 to MR.</v>
      </c>
      <c r="J102" s="394">
        <v>200</v>
      </c>
      <c r="K102" s="80">
        <f>IF(ISERROR(C102*1),-1,C102+IF(LEFT(A102)="T",Bonuses!$BR$3,IF(LEFT(A102)="G",Bonuses!$BS$3,IF(LEFT(A102)="Q",Bonuses!$BT$3,IF(LEFT(A102)="S",Bonuses!$BU$3,IF(LEFT(A102)="R",Bonuses!$BV$3,0))))))+P102</f>
        <v>0</v>
      </c>
      <c r="L102" s="80">
        <v>1</v>
      </c>
      <c r="M102" s="75">
        <v>40</v>
      </c>
      <c r="N102" s="75">
        <v>3</v>
      </c>
      <c r="O102" s="380"/>
      <c r="P102" s="380"/>
      <c r="Q102" s="86">
        <f>MAX((MAX(Stats!$E$2,Ranking!$C$13)-15)*5,0)</f>
        <v>0</v>
      </c>
      <c r="R102" s="83">
        <v>300</v>
      </c>
    </row>
    <row r="103" spans="1:18" x14ac:dyDescent="0.2">
      <c r="A103" s="96" t="s">
        <v>268</v>
      </c>
      <c r="B103" s="79" t="s">
        <v>654</v>
      </c>
      <c r="C103" s="126">
        <v>0</v>
      </c>
      <c r="D103" s="125">
        <f>M103+O103+(K103*N103)+IF(OR(LEFT(A103)="G",LEFT(A103)="S"),Stats!$E$3-15+Bonuses!$BO$3,IF(OR(LEFT(A103)="Q",LEFT(A103)="R"),Bonuses!$BQ$3,Bonuses!$BP$3))</f>
        <v>40</v>
      </c>
      <c r="E103" s="125">
        <f t="shared" si="7"/>
        <v>6</v>
      </c>
      <c r="F103" s="125">
        <f t="shared" si="8"/>
        <v>2</v>
      </c>
      <c r="G103" s="84" t="str">
        <f t="shared" si="9"/>
        <v>25 Feet</v>
      </c>
      <c r="H103" s="88" t="str">
        <f t="shared" si="10"/>
        <v>D+5 Mins</v>
      </c>
      <c r="I103" s="94" t="str">
        <f t="shared" si="11"/>
        <v>+30 to MR.</v>
      </c>
      <c r="J103" s="394">
        <v>100</v>
      </c>
      <c r="K103" s="80">
        <f>IF(ISERROR(C103*1),-1,C103+IF(LEFT(A103)="T",Bonuses!$BR$3,IF(LEFT(A103)="G",Bonuses!$BS$3,IF(LEFT(A103)="Q",Bonuses!$BT$3,IF(LEFT(A103)="S",Bonuses!$BU$3,IF(LEFT(A103)="R",Bonuses!$BV$3,0))))))+P103</f>
        <v>0</v>
      </c>
      <c r="L103" s="80">
        <v>1</v>
      </c>
      <c r="M103" s="75">
        <v>40</v>
      </c>
      <c r="N103" s="75">
        <v>3</v>
      </c>
      <c r="O103" s="380"/>
      <c r="P103" s="380"/>
      <c r="Q103" s="86">
        <f>MAX((MAX(Stats!$E$2,Ranking!$C$13)-15)*5,0)</f>
        <v>0</v>
      </c>
      <c r="R103" s="83">
        <v>300</v>
      </c>
    </row>
    <row r="104" spans="1:18" x14ac:dyDescent="0.2">
      <c r="A104" s="96" t="s">
        <v>268</v>
      </c>
      <c r="B104" s="79" t="s">
        <v>655</v>
      </c>
      <c r="C104" s="126">
        <v>0</v>
      </c>
      <c r="D104" s="125">
        <f>M104+O104+(K104*N104)+IF(OR(LEFT(A104)="G",LEFT(A104)="S"),Stats!$E$3-15+Bonuses!$BO$3,IF(OR(LEFT(A104)="Q",LEFT(A104)="R"),Bonuses!$BQ$3,Bonuses!$BP$3))</f>
        <v>40</v>
      </c>
      <c r="E104" s="125">
        <f t="shared" si="7"/>
        <v>6</v>
      </c>
      <c r="F104" s="125">
        <f t="shared" si="8"/>
        <v>2</v>
      </c>
      <c r="G104" s="84" t="str">
        <f t="shared" si="9"/>
        <v>25 Feet</v>
      </c>
      <c r="H104" s="88" t="str">
        <f t="shared" si="10"/>
        <v>D+5 Mins</v>
      </c>
      <c r="I104" s="94" t="str">
        <f t="shared" si="11"/>
        <v>+30 to MR.</v>
      </c>
      <c r="J104" s="394">
        <v>200</v>
      </c>
      <c r="K104" s="80">
        <f>IF(ISERROR(C104*1),-1,C104+IF(LEFT(A104)="T",Bonuses!$BR$3,IF(LEFT(A104)="G",Bonuses!$BS$3,IF(LEFT(A104)="Q",Bonuses!$BT$3,IF(LEFT(A104)="S",Bonuses!$BU$3,IF(LEFT(A104)="R",Bonuses!$BV$3,0))))))+P104</f>
        <v>0</v>
      </c>
      <c r="L104" s="80">
        <v>1</v>
      </c>
      <c r="M104" s="75">
        <v>40</v>
      </c>
      <c r="N104" s="75">
        <v>3</v>
      </c>
      <c r="O104" s="380"/>
      <c r="P104" s="380"/>
      <c r="Q104" s="86">
        <f>MAX((MAX(Stats!$E$2,Ranking!$C$13)-15)*5,0)</f>
        <v>0</v>
      </c>
      <c r="R104" s="83">
        <v>300</v>
      </c>
    </row>
    <row r="105" spans="1:18" x14ac:dyDescent="0.2">
      <c r="A105" s="96" t="s">
        <v>268</v>
      </c>
      <c r="B105" s="79" t="s">
        <v>656</v>
      </c>
      <c r="C105" s="126">
        <v>0</v>
      </c>
      <c r="D105" s="125">
        <f>M105+O105+(K105*N105)+IF(OR(LEFT(A105)="G",LEFT(A105)="S"),Stats!$E$3-15+Bonuses!$BO$3,IF(OR(LEFT(A105)="Q",LEFT(A105)="R"),Bonuses!$BQ$3,Bonuses!$BP$3))</f>
        <v>40</v>
      </c>
      <c r="E105" s="125">
        <f t="shared" si="7"/>
        <v>6</v>
      </c>
      <c r="F105" s="125">
        <f t="shared" si="8"/>
        <v>2</v>
      </c>
      <c r="G105" s="84" t="str">
        <f t="shared" si="9"/>
        <v>25 Feet</v>
      </c>
      <c r="H105" s="88" t="str">
        <f t="shared" si="10"/>
        <v>D+5 Mins</v>
      </c>
      <c r="I105" s="94" t="str">
        <f t="shared" si="11"/>
        <v>+30 to MR.</v>
      </c>
      <c r="J105" s="394">
        <v>100</v>
      </c>
      <c r="K105" s="80">
        <f>IF(ISERROR(C105*1),-1,C105+IF(LEFT(A105)="T",Bonuses!$BR$3,IF(LEFT(A105)="G",Bonuses!$BS$3,IF(LEFT(A105)="Q",Bonuses!$BT$3,IF(LEFT(A105)="S",Bonuses!$BU$3,IF(LEFT(A105)="R",Bonuses!$BV$3,0))))))+P105</f>
        <v>0</v>
      </c>
      <c r="L105" s="80">
        <v>1</v>
      </c>
      <c r="M105" s="75">
        <v>40</v>
      </c>
      <c r="N105" s="75">
        <v>3</v>
      </c>
      <c r="O105" s="380"/>
      <c r="P105" s="380"/>
      <c r="Q105" s="86">
        <f>MAX((MAX(Stats!$E$2,Ranking!$C$13)-15)*5,0)</f>
        <v>0</v>
      </c>
      <c r="R105" s="83">
        <v>300</v>
      </c>
    </row>
    <row r="106" spans="1:18" x14ac:dyDescent="0.2">
      <c r="A106" s="96" t="s">
        <v>268</v>
      </c>
      <c r="B106" s="87" t="s">
        <v>657</v>
      </c>
      <c r="C106" s="126">
        <v>0</v>
      </c>
      <c r="D106" s="125">
        <f>M106+O106+(K106*N106)+IF(OR(LEFT(A106)="G",LEFT(A106)="S"),Stats!$E$3-15+Bonuses!$BO$3,IF(OR(LEFT(A106)="Q",LEFT(A106)="R"),Bonuses!$BQ$3,Bonuses!$BP$3))</f>
        <v>40</v>
      </c>
      <c r="E106" s="125">
        <f t="shared" si="7"/>
        <v>6</v>
      </c>
      <c r="F106" s="125">
        <f t="shared" si="8"/>
        <v>2</v>
      </c>
      <c r="G106" s="84" t="str">
        <f t="shared" si="9"/>
        <v>25 Feet</v>
      </c>
      <c r="H106" s="88" t="str">
        <f t="shared" si="10"/>
        <v>D+5 Mins</v>
      </c>
      <c r="I106" s="94" t="str">
        <f t="shared" si="11"/>
        <v>+30 to MR.</v>
      </c>
      <c r="J106" s="395">
        <v>200</v>
      </c>
      <c r="K106" s="80">
        <f>IF(ISERROR(C106*1),-1,C106+IF(LEFT(A106)="T",Bonuses!$BR$3,IF(LEFT(A106)="G",Bonuses!$BS$3,IF(LEFT(A106)="Q",Bonuses!$BT$3,IF(LEFT(A106)="S",Bonuses!$BU$3,IF(LEFT(A106)="R",Bonuses!$BV$3,0))))))+P106</f>
        <v>0</v>
      </c>
      <c r="L106" s="80">
        <v>1</v>
      </c>
      <c r="M106" s="75">
        <v>40</v>
      </c>
      <c r="N106" s="75">
        <v>3</v>
      </c>
      <c r="O106" s="380"/>
      <c r="P106" s="380"/>
      <c r="Q106" s="86">
        <f>MAX((MAX(Stats!$E$2,Ranking!$C$13)-15)*5,0)</f>
        <v>0</v>
      </c>
      <c r="R106" s="83">
        <v>300</v>
      </c>
    </row>
    <row r="107" spans="1:18" x14ac:dyDescent="0.2">
      <c r="A107" s="96" t="s">
        <v>268</v>
      </c>
      <c r="B107" s="87" t="s">
        <v>658</v>
      </c>
      <c r="C107" s="126">
        <v>0</v>
      </c>
      <c r="D107" s="125">
        <f>M107+O107+(K107*N107)+IF(OR(LEFT(A107)="G",LEFT(A107)="S"),Stats!$E$3-15+Bonuses!$BO$3,IF(OR(LEFT(A107)="Q",LEFT(A107)="R"),Bonuses!$BQ$3,Bonuses!$BP$3))</f>
        <v>40</v>
      </c>
      <c r="E107" s="125">
        <f t="shared" si="7"/>
        <v>6</v>
      </c>
      <c r="F107" s="125">
        <f t="shared" si="8"/>
        <v>2</v>
      </c>
      <c r="G107" s="84" t="str">
        <f t="shared" si="9"/>
        <v>25 Feet</v>
      </c>
      <c r="H107" s="88" t="str">
        <f t="shared" si="10"/>
        <v>D+5 Mins</v>
      </c>
      <c r="I107" s="94" t="str">
        <f t="shared" si="11"/>
        <v>+30 to MR.</v>
      </c>
      <c r="J107" s="395">
        <v>100</v>
      </c>
      <c r="K107" s="80">
        <f>IF(ISERROR(C107*1),-1,C107+IF(LEFT(A107)="T",Bonuses!$BR$3,IF(LEFT(A107)="G",Bonuses!$BS$3,IF(LEFT(A107)="Q",Bonuses!$BT$3,IF(LEFT(A107)="S",Bonuses!$BU$3,IF(LEFT(A107)="R",Bonuses!$BV$3,0))))))+P107</f>
        <v>0</v>
      </c>
      <c r="L107" s="80">
        <v>1</v>
      </c>
      <c r="M107" s="75">
        <v>40</v>
      </c>
      <c r="N107" s="75">
        <v>3</v>
      </c>
      <c r="O107" s="380"/>
      <c r="P107" s="380"/>
      <c r="Q107" s="86">
        <f>MAX((MAX(Stats!$E$2,Ranking!$C$13)-15)*5,0)</f>
        <v>0</v>
      </c>
      <c r="R107" s="83">
        <v>300</v>
      </c>
    </row>
    <row r="108" spans="1:18" x14ac:dyDescent="0.2">
      <c r="A108" s="96" t="s">
        <v>268</v>
      </c>
      <c r="B108" s="79" t="s">
        <v>659</v>
      </c>
      <c r="C108" s="126">
        <v>0</v>
      </c>
      <c r="D108" s="125">
        <f>M108+O108+(K108*N108)+IF(OR(LEFT(A108)="G",LEFT(A108)="S"),Stats!$E$3-15+Bonuses!$BO$3,IF(OR(LEFT(A108)="Q",LEFT(A108)="R"),Bonuses!$BQ$3,Bonuses!$BP$3))</f>
        <v>40</v>
      </c>
      <c r="E108" s="125">
        <f t="shared" si="7"/>
        <v>6</v>
      </c>
      <c r="F108" s="125">
        <f t="shared" si="8"/>
        <v>2</v>
      </c>
      <c r="G108" s="84" t="str">
        <f t="shared" si="9"/>
        <v>25 Feet</v>
      </c>
      <c r="H108" s="88" t="str">
        <f t="shared" si="10"/>
        <v>D+5 Mins</v>
      </c>
      <c r="I108" s="94" t="str">
        <f t="shared" si="11"/>
        <v>+30 to MR.</v>
      </c>
      <c r="J108" s="395">
        <v>200</v>
      </c>
      <c r="K108" s="80">
        <f>IF(ISERROR(C108*1),-1,C108+IF(LEFT(A108)="T",Bonuses!$BR$3,IF(LEFT(A108)="G",Bonuses!$BS$3,IF(LEFT(A108)="Q",Bonuses!$BT$3,IF(LEFT(A108)="S",Bonuses!$BU$3,IF(LEFT(A108)="R",Bonuses!$BV$3,0))))))+P108</f>
        <v>0</v>
      </c>
      <c r="L108" s="80">
        <v>1</v>
      </c>
      <c r="M108" s="75">
        <v>40</v>
      </c>
      <c r="N108" s="75">
        <v>3</v>
      </c>
      <c r="O108" s="380"/>
      <c r="P108" s="380"/>
      <c r="Q108" s="86">
        <f>MAX((MAX(Stats!$E$2,Ranking!$C$13)-15)*5,0)</f>
        <v>0</v>
      </c>
      <c r="R108" s="83">
        <v>300</v>
      </c>
    </row>
    <row r="109" spans="1:18" x14ac:dyDescent="0.2">
      <c r="A109" s="96" t="s">
        <v>268</v>
      </c>
      <c r="B109" s="79" t="s">
        <v>660</v>
      </c>
      <c r="C109" s="126">
        <v>0</v>
      </c>
      <c r="D109" s="125">
        <f>M109+O109+(K109*N109)+IF(OR(LEFT(A109)="G",LEFT(A109)="S"),Stats!$E$3-15+Bonuses!$BO$3,IF(OR(LEFT(A109)="Q",LEFT(A109)="R"),Bonuses!$BQ$3,Bonuses!$BP$3))</f>
        <v>40</v>
      </c>
      <c r="E109" s="125">
        <f t="shared" si="7"/>
        <v>6</v>
      </c>
      <c r="F109" s="125">
        <f t="shared" si="8"/>
        <v>2</v>
      </c>
      <c r="G109" s="84" t="str">
        <f t="shared" si="9"/>
        <v>25 Feet</v>
      </c>
      <c r="H109" s="88" t="str">
        <f t="shared" si="10"/>
        <v>D+5 Mins</v>
      </c>
      <c r="I109" s="94" t="str">
        <f t="shared" si="11"/>
        <v>+30 to MR.</v>
      </c>
      <c r="J109" s="394">
        <v>100</v>
      </c>
      <c r="K109" s="80">
        <f>IF(ISERROR(C109*1),-1,C109+IF(LEFT(A109)="T",Bonuses!$BR$3,IF(LEFT(A109)="G",Bonuses!$BS$3,IF(LEFT(A109)="Q",Bonuses!$BT$3,IF(LEFT(A109)="S",Bonuses!$BU$3,IF(LEFT(A109)="R",Bonuses!$BV$3,0))))))+P109</f>
        <v>0</v>
      </c>
      <c r="L109" s="80">
        <v>1</v>
      </c>
      <c r="M109" s="75">
        <v>40</v>
      </c>
      <c r="N109" s="75">
        <v>3</v>
      </c>
      <c r="O109" s="380"/>
      <c r="P109" s="380"/>
      <c r="Q109" s="86">
        <f>MAX((MAX(Stats!$E$2,Ranking!$C$13)-15)*5,0)</f>
        <v>0</v>
      </c>
      <c r="R109" s="83">
        <v>300</v>
      </c>
    </row>
    <row r="110" spans="1:18" x14ac:dyDescent="0.2">
      <c r="A110" s="96" t="s">
        <v>268</v>
      </c>
      <c r="B110" s="79" t="s">
        <v>661</v>
      </c>
      <c r="C110" s="126">
        <v>0</v>
      </c>
      <c r="D110" s="125">
        <f>M110+O110+(K110*N110)+IF(OR(LEFT(A110)="G",LEFT(A110)="S"),Stats!$E$3-15+Bonuses!$BO$3,IF(OR(LEFT(A110)="Q",LEFT(A110)="R"),Bonuses!$BQ$3,Bonuses!$BP$3))</f>
        <v>40</v>
      </c>
      <c r="E110" s="125">
        <f t="shared" si="7"/>
        <v>6</v>
      </c>
      <c r="F110" s="125">
        <f t="shared" si="8"/>
        <v>2</v>
      </c>
      <c r="G110" s="84" t="str">
        <f t="shared" si="9"/>
        <v>25 Feet</v>
      </c>
      <c r="H110" s="88" t="str">
        <f t="shared" si="10"/>
        <v>D+5 Mins</v>
      </c>
      <c r="I110" s="94" t="str">
        <f t="shared" si="11"/>
        <v>+30 to MR.</v>
      </c>
      <c r="J110" s="394">
        <v>200</v>
      </c>
      <c r="K110" s="80">
        <f>IF(ISERROR(C110*1),-1,C110+IF(LEFT(A110)="T",Bonuses!$BR$3,IF(LEFT(A110)="G",Bonuses!$BS$3,IF(LEFT(A110)="Q",Bonuses!$BT$3,IF(LEFT(A110)="S",Bonuses!$BU$3,IF(LEFT(A110)="R",Bonuses!$BV$3,0))))))+P110</f>
        <v>0</v>
      </c>
      <c r="L110" s="80">
        <v>1</v>
      </c>
      <c r="M110" s="75">
        <v>40</v>
      </c>
      <c r="N110" s="75">
        <v>3</v>
      </c>
      <c r="O110" s="380"/>
      <c r="P110" s="380"/>
      <c r="Q110" s="86">
        <f>MAX((MAX(Stats!$E$2,Ranking!$C$13)-15)*5,0)</f>
        <v>0</v>
      </c>
      <c r="R110" s="83">
        <v>300</v>
      </c>
    </row>
    <row r="111" spans="1:18" x14ac:dyDescent="0.2">
      <c r="A111" s="96" t="s">
        <v>268</v>
      </c>
      <c r="B111" s="79" t="s">
        <v>662</v>
      </c>
      <c r="C111" s="126">
        <v>0</v>
      </c>
      <c r="D111" s="125">
        <f>M111+O111+(K111*N111)+IF(OR(LEFT(A111)="G",LEFT(A111)="S"),Stats!$E$3-15+Bonuses!$BO$3,IF(OR(LEFT(A111)="Q",LEFT(A111)="R"),Bonuses!$BQ$3,Bonuses!$BP$3))</f>
        <v>40</v>
      </c>
      <c r="E111" s="125">
        <f t="shared" si="7"/>
        <v>6</v>
      </c>
      <c r="F111" s="125">
        <f t="shared" si="8"/>
        <v>2</v>
      </c>
      <c r="G111" s="84" t="str">
        <f t="shared" si="9"/>
        <v>25 Feet</v>
      </c>
      <c r="H111" s="88" t="str">
        <f t="shared" si="10"/>
        <v>D+5 Mins</v>
      </c>
      <c r="I111" s="94" t="str">
        <f t="shared" si="11"/>
        <v>+30 to MR.</v>
      </c>
      <c r="J111" s="394">
        <v>100</v>
      </c>
      <c r="K111" s="80">
        <f>IF(ISERROR(C111*1),-1,C111+IF(LEFT(A111)="T",Bonuses!$BR$3,IF(LEFT(A111)="G",Bonuses!$BS$3,IF(LEFT(A111)="Q",Bonuses!$BT$3,IF(LEFT(A111)="S",Bonuses!$BU$3,IF(LEFT(A111)="R",Bonuses!$BV$3,0))))))+P111</f>
        <v>0</v>
      </c>
      <c r="L111" s="80">
        <v>1</v>
      </c>
      <c r="M111" s="75">
        <v>40</v>
      </c>
      <c r="N111" s="75">
        <v>3</v>
      </c>
      <c r="O111" s="380"/>
      <c r="P111" s="380"/>
      <c r="Q111" s="86">
        <f>MAX((MAX(Stats!$E$2,Ranking!$C$13)-15)*5,0)</f>
        <v>0</v>
      </c>
      <c r="R111" s="83">
        <v>300</v>
      </c>
    </row>
    <row r="112" spans="1:18" x14ac:dyDescent="0.2">
      <c r="A112" s="96" t="s">
        <v>268</v>
      </c>
      <c r="B112" s="79" t="s">
        <v>663</v>
      </c>
      <c r="C112" s="126">
        <v>0</v>
      </c>
      <c r="D112" s="125">
        <f>M112+O112+(K112*N112)+IF(OR(LEFT(A112)="G",LEFT(A112)="S"),Stats!$E$3-15+Bonuses!$BO$3,IF(OR(LEFT(A112)="Q",LEFT(A112)="R"),Bonuses!$BQ$3,Bonuses!$BP$3))</f>
        <v>40</v>
      </c>
      <c r="E112" s="125">
        <f t="shared" si="7"/>
        <v>6</v>
      </c>
      <c r="F112" s="125">
        <f t="shared" si="8"/>
        <v>2</v>
      </c>
      <c r="G112" s="84" t="str">
        <f t="shared" si="9"/>
        <v>25 Feet</v>
      </c>
      <c r="H112" s="88" t="str">
        <f t="shared" si="10"/>
        <v>D+5 Mins</v>
      </c>
      <c r="I112" s="94" t="str">
        <f t="shared" si="11"/>
        <v>+30 to MR.</v>
      </c>
      <c r="J112" s="394">
        <v>200</v>
      </c>
      <c r="K112" s="80">
        <f>IF(ISERROR(C112*1),-1,C112+IF(LEFT(A112)="T",Bonuses!$BR$3,IF(LEFT(A112)="G",Bonuses!$BS$3,IF(LEFT(A112)="Q",Bonuses!$BT$3,IF(LEFT(A112)="S",Bonuses!$BU$3,IF(LEFT(A112)="R",Bonuses!$BV$3,0))))))+P112</f>
        <v>0</v>
      </c>
      <c r="L112" s="80">
        <v>1</v>
      </c>
      <c r="M112" s="75">
        <v>40</v>
      </c>
      <c r="N112" s="75">
        <v>3</v>
      </c>
      <c r="O112" s="380"/>
      <c r="P112" s="380"/>
      <c r="Q112" s="86">
        <f>MAX((MAX(Stats!$E$2,Ranking!$C$13)-15)*5,0)</f>
        <v>0</v>
      </c>
      <c r="R112" s="83">
        <v>300</v>
      </c>
    </row>
    <row r="113" spans="1:18" x14ac:dyDescent="0.2">
      <c r="A113" s="96" t="s">
        <v>268</v>
      </c>
      <c r="B113" s="79" t="s">
        <v>664</v>
      </c>
      <c r="C113" s="126">
        <v>0</v>
      </c>
      <c r="D113" s="125">
        <f>M113+O113+(K113*N113)+IF(OR(LEFT(A113)="G",LEFT(A113)="S"),Stats!$E$3-15+Bonuses!$BO$3,IF(OR(LEFT(A113)="Q",LEFT(A113)="R"),Bonuses!$BQ$3,Bonuses!$BP$3))</f>
        <v>40</v>
      </c>
      <c r="E113" s="125">
        <f t="shared" si="7"/>
        <v>6</v>
      </c>
      <c r="F113" s="125">
        <f t="shared" si="8"/>
        <v>2</v>
      </c>
      <c r="G113" s="84" t="str">
        <f t="shared" si="9"/>
        <v>25 Feet</v>
      </c>
      <c r="H113" s="88" t="str">
        <f t="shared" si="10"/>
        <v>D+5 Mins</v>
      </c>
      <c r="I113" s="94" t="str">
        <f t="shared" si="11"/>
        <v>+30 to MR.</v>
      </c>
      <c r="J113" s="394">
        <v>100</v>
      </c>
      <c r="K113" s="80">
        <f>IF(ISERROR(C113*1),-1,C113+IF(LEFT(A113)="T",Bonuses!$BR$3,IF(LEFT(A113)="G",Bonuses!$BS$3,IF(LEFT(A113)="Q",Bonuses!$BT$3,IF(LEFT(A113)="S",Bonuses!$BU$3,IF(LEFT(A113)="R",Bonuses!$BV$3,0))))))+P113</f>
        <v>0</v>
      </c>
      <c r="L113" s="80">
        <v>1</v>
      </c>
      <c r="M113" s="75">
        <v>40</v>
      </c>
      <c r="N113" s="75">
        <v>3</v>
      </c>
      <c r="O113" s="380"/>
      <c r="P113" s="380"/>
      <c r="Q113" s="86">
        <f>MAX((MAX(Stats!$E$2,Ranking!$C$13)-15)*5,0)</f>
        <v>0</v>
      </c>
      <c r="R113" s="83">
        <v>300</v>
      </c>
    </row>
    <row r="114" spans="1:18" x14ac:dyDescent="0.2">
      <c r="A114" s="96" t="s">
        <v>268</v>
      </c>
      <c r="B114" s="79" t="s">
        <v>665</v>
      </c>
      <c r="C114" s="126">
        <v>0</v>
      </c>
      <c r="D114" s="125">
        <f>M114+O114+(K114*N114)+IF(OR(LEFT(A114)="G",LEFT(A114)="S"),Stats!$E$3-15+Bonuses!$BO$3,IF(OR(LEFT(A114)="Q",LEFT(A114)="R"),Bonuses!$BQ$3,Bonuses!$BP$3))</f>
        <v>40</v>
      </c>
      <c r="E114" s="125">
        <f t="shared" si="7"/>
        <v>6</v>
      </c>
      <c r="F114" s="125">
        <f t="shared" si="8"/>
        <v>2</v>
      </c>
      <c r="G114" s="84" t="str">
        <f t="shared" si="9"/>
        <v>25 Feet</v>
      </c>
      <c r="H114" s="88" t="str">
        <f t="shared" si="10"/>
        <v>D+5 Mins</v>
      </c>
      <c r="I114" s="94" t="str">
        <f t="shared" si="11"/>
        <v>+30 to MR.</v>
      </c>
      <c r="J114" s="394">
        <v>200</v>
      </c>
      <c r="K114" s="80">
        <f>IF(ISERROR(C114*1),-1,C114+IF(LEFT(A114)="T",Bonuses!$BR$3,IF(LEFT(A114)="G",Bonuses!$BS$3,IF(LEFT(A114)="Q",Bonuses!$BT$3,IF(LEFT(A114)="S",Bonuses!$BU$3,IF(LEFT(A114)="R",Bonuses!$BV$3,0))))))+P114</f>
        <v>0</v>
      </c>
      <c r="L114" s="80">
        <v>1</v>
      </c>
      <c r="M114" s="75">
        <v>40</v>
      </c>
      <c r="N114" s="75">
        <v>3</v>
      </c>
      <c r="O114" s="380"/>
      <c r="P114" s="380"/>
      <c r="Q114" s="86">
        <f>MAX((MAX(Stats!$E$2,Ranking!$C$13)-15)*5,0)</f>
        <v>0</v>
      </c>
      <c r="R114" s="83">
        <v>300</v>
      </c>
    </row>
    <row r="115" spans="1:18" x14ac:dyDescent="0.2">
      <c r="A115" s="96" t="s">
        <v>268</v>
      </c>
      <c r="B115" s="79" t="s">
        <v>666</v>
      </c>
      <c r="C115" s="126">
        <v>0</v>
      </c>
      <c r="D115" s="125">
        <f>M115+O115+(K115*N115)+IF(OR(LEFT(A115)="G",LEFT(A115)="S"),Stats!$E$3-15+Bonuses!$BO$3,IF(OR(LEFT(A115)="Q",LEFT(A115)="R"),Bonuses!$BQ$3,Bonuses!$BP$3))</f>
        <v>40</v>
      </c>
      <c r="E115" s="125">
        <f t="shared" si="7"/>
        <v>6</v>
      </c>
      <c r="F115" s="125">
        <f t="shared" si="8"/>
        <v>2</v>
      </c>
      <c r="G115" s="84" t="str">
        <f t="shared" si="9"/>
        <v>25 Feet</v>
      </c>
      <c r="H115" s="88" t="str">
        <f t="shared" si="10"/>
        <v>D+5 Mins</v>
      </c>
      <c r="I115" s="94" t="str">
        <f t="shared" si="11"/>
        <v>+30 to MR.</v>
      </c>
      <c r="J115" s="394">
        <v>100</v>
      </c>
      <c r="K115" s="80">
        <f>IF(ISERROR(C115*1),-1,C115+IF(LEFT(A115)="T",Bonuses!$BR$3,IF(LEFT(A115)="G",Bonuses!$BS$3,IF(LEFT(A115)="Q",Bonuses!$BT$3,IF(LEFT(A115)="S",Bonuses!$BU$3,IF(LEFT(A115)="R",Bonuses!$BV$3,0))))))+P115</f>
        <v>0</v>
      </c>
      <c r="L115" s="80">
        <v>1</v>
      </c>
      <c r="M115" s="75">
        <v>40</v>
      </c>
      <c r="N115" s="75">
        <v>3</v>
      </c>
      <c r="O115" s="380"/>
      <c r="P115" s="380"/>
      <c r="Q115" s="86">
        <f>MAX((MAX(Stats!$E$2,Ranking!$C$13)-15)*5,0)</f>
        <v>0</v>
      </c>
      <c r="R115" s="83">
        <v>300</v>
      </c>
    </row>
    <row r="116" spans="1:18" x14ac:dyDescent="0.2">
      <c r="A116" s="96" t="s">
        <v>268</v>
      </c>
      <c r="B116" s="79" t="s">
        <v>667</v>
      </c>
      <c r="C116" s="126">
        <v>0</v>
      </c>
      <c r="D116" s="125">
        <f>M116+O116+(K116*N116)+IF(OR(LEFT(A116)="G",LEFT(A116)="S"),Stats!$E$3-15+Bonuses!$BO$3,IF(OR(LEFT(A116)="Q",LEFT(A116)="R"),Bonuses!$BQ$3,Bonuses!$BP$3))</f>
        <v>40</v>
      </c>
      <c r="E116" s="125">
        <f t="shared" si="7"/>
        <v>6</v>
      </c>
      <c r="F116" s="125">
        <f t="shared" si="8"/>
        <v>2</v>
      </c>
      <c r="G116" s="84" t="str">
        <f t="shared" si="9"/>
        <v>25 Feet</v>
      </c>
      <c r="H116" s="88" t="str">
        <f t="shared" si="10"/>
        <v>D+5 Mins</v>
      </c>
      <c r="I116" s="94" t="str">
        <f t="shared" si="11"/>
        <v>+30 to MR.</v>
      </c>
      <c r="J116" s="394">
        <v>200</v>
      </c>
      <c r="K116" s="80">
        <f>IF(ISERROR(C116*1),-1,C116+IF(LEFT(A116)="T",Bonuses!$BR$3,IF(LEFT(A116)="G",Bonuses!$BS$3,IF(LEFT(A116)="Q",Bonuses!$BT$3,IF(LEFT(A116)="S",Bonuses!$BU$3,IF(LEFT(A116)="R",Bonuses!$BV$3,0))))))+P116</f>
        <v>0</v>
      </c>
      <c r="L116" s="80">
        <v>1</v>
      </c>
      <c r="M116" s="75">
        <v>40</v>
      </c>
      <c r="N116" s="75">
        <v>3</v>
      </c>
      <c r="O116" s="380"/>
      <c r="P116" s="380"/>
      <c r="Q116" s="86">
        <f>MAX((MAX(Stats!$E$2,Ranking!$C$13)-15)*5,0)</f>
        <v>0</v>
      </c>
      <c r="R116" s="83">
        <v>300</v>
      </c>
    </row>
    <row r="117" spans="1:18" x14ac:dyDescent="0.2">
      <c r="A117" s="96" t="s">
        <v>268</v>
      </c>
      <c r="B117" s="79" t="s">
        <v>668</v>
      </c>
      <c r="C117" s="126">
        <v>0</v>
      </c>
      <c r="D117" s="125">
        <f>M117+O117+(K117*N117)+IF(OR(LEFT(A117)="G",LEFT(A117)="S"),Stats!$E$3-15+Bonuses!$BO$3,IF(OR(LEFT(A117)="Q",LEFT(A117)="R"),Bonuses!$BQ$3,Bonuses!$BP$3))</f>
        <v>40</v>
      </c>
      <c r="E117" s="125">
        <f t="shared" si="7"/>
        <v>6</v>
      </c>
      <c r="F117" s="125">
        <f t="shared" si="8"/>
        <v>2</v>
      </c>
      <c r="G117" s="84" t="str">
        <f t="shared" si="9"/>
        <v>25 Feet</v>
      </c>
      <c r="H117" s="88" t="str">
        <f t="shared" si="10"/>
        <v>D+5 Mins</v>
      </c>
      <c r="I117" s="94" t="str">
        <f t="shared" si="11"/>
        <v>+30 to MR.</v>
      </c>
      <c r="J117" s="394">
        <v>100</v>
      </c>
      <c r="K117" s="80">
        <f>IF(ISERROR(C117*1),-1,C117+IF(LEFT(A117)="T",Bonuses!$BR$3,IF(LEFT(A117)="G",Bonuses!$BS$3,IF(LEFT(A117)="Q",Bonuses!$BT$3,IF(LEFT(A117)="S",Bonuses!$BU$3,IF(LEFT(A117)="R",Bonuses!$BV$3,0))))))+P117</f>
        <v>0</v>
      </c>
      <c r="L117" s="80">
        <v>1</v>
      </c>
      <c r="M117" s="75">
        <v>40</v>
      </c>
      <c r="N117" s="75">
        <v>3</v>
      </c>
      <c r="O117" s="380"/>
      <c r="P117" s="380"/>
      <c r="Q117" s="86">
        <f>MAX((MAX(Stats!$E$2,Ranking!$C$13)-15)*5,0)</f>
        <v>0</v>
      </c>
      <c r="R117" s="83">
        <v>300</v>
      </c>
    </row>
    <row r="118" spans="1:18" x14ac:dyDescent="0.2">
      <c r="A118" s="96" t="s">
        <v>268</v>
      </c>
      <c r="B118" s="79" t="s">
        <v>669</v>
      </c>
      <c r="C118" s="126">
        <v>0</v>
      </c>
      <c r="D118" s="125">
        <f>M118+O118+(K118*N118)+IF(OR(LEFT(A118)="G",LEFT(A118)="S"),Stats!$E$3-15+Bonuses!$BO$3,IF(OR(LEFT(A118)="Q",LEFT(A118)="R"),Bonuses!$BQ$3,Bonuses!$BP$3))</f>
        <v>40</v>
      </c>
      <c r="E118" s="125">
        <f t="shared" si="7"/>
        <v>6</v>
      </c>
      <c r="F118" s="125">
        <f t="shared" si="8"/>
        <v>2</v>
      </c>
      <c r="G118" s="84" t="str">
        <f t="shared" si="9"/>
        <v>25 Feet</v>
      </c>
      <c r="H118" s="88" t="str">
        <f t="shared" si="10"/>
        <v>D+5 Mins</v>
      </c>
      <c r="I118" s="94" t="str">
        <f t="shared" si="11"/>
        <v>+30 to MR.</v>
      </c>
      <c r="J118" s="394">
        <v>200</v>
      </c>
      <c r="K118" s="80">
        <f>IF(ISERROR(C118*1),-1,C118+IF(LEFT(A118)="T",Bonuses!$BR$3,IF(LEFT(A118)="G",Bonuses!$BS$3,IF(LEFT(A118)="Q",Bonuses!$BT$3,IF(LEFT(A118)="S",Bonuses!$BU$3,IF(LEFT(A118)="R",Bonuses!$BV$3,0))))))+P118</f>
        <v>0</v>
      </c>
      <c r="L118" s="80">
        <v>1</v>
      </c>
      <c r="M118" s="75">
        <v>40</v>
      </c>
      <c r="N118" s="75">
        <v>3</v>
      </c>
      <c r="O118" s="380"/>
      <c r="P118" s="380"/>
      <c r="Q118" s="86">
        <f>MAX((MAX(Stats!$E$2,Ranking!$C$13)-15)*5,0)</f>
        <v>0</v>
      </c>
      <c r="R118" s="83">
        <v>300</v>
      </c>
    </row>
    <row r="119" spans="1:18" x14ac:dyDescent="0.2">
      <c r="A119" s="96" t="s">
        <v>268</v>
      </c>
      <c r="B119" s="79" t="s">
        <v>670</v>
      </c>
      <c r="C119" s="126">
        <v>0</v>
      </c>
      <c r="D119" s="125">
        <f>M119+O119+(K119*N119)+IF(OR(LEFT(A119)="G",LEFT(A119)="S"),Stats!$E$3-15+Bonuses!$BO$3,IF(OR(LEFT(A119)="Q",LEFT(A119)="R"),Bonuses!$BQ$3,Bonuses!$BP$3))</f>
        <v>40</v>
      </c>
      <c r="E119" s="125">
        <f t="shared" si="7"/>
        <v>6</v>
      </c>
      <c r="F119" s="125">
        <f t="shared" si="8"/>
        <v>2</v>
      </c>
      <c r="G119" s="84" t="str">
        <f t="shared" si="9"/>
        <v>25 Feet</v>
      </c>
      <c r="H119" s="88" t="str">
        <f t="shared" si="10"/>
        <v>D+5 Mins</v>
      </c>
      <c r="I119" s="94" t="str">
        <f t="shared" si="11"/>
        <v>+30 to MR.</v>
      </c>
      <c r="J119" s="394">
        <v>100</v>
      </c>
      <c r="K119" s="80">
        <f>IF(ISERROR(C119*1),-1,C119+IF(LEFT(A119)="T",Bonuses!$BR$3,IF(LEFT(A119)="G",Bonuses!$BS$3,IF(LEFT(A119)="Q",Bonuses!$BT$3,IF(LEFT(A119)="S",Bonuses!$BU$3,IF(LEFT(A119)="R",Bonuses!$BV$3,0))))))+P119</f>
        <v>0</v>
      </c>
      <c r="L119" s="80">
        <v>1</v>
      </c>
      <c r="M119" s="75">
        <v>40</v>
      </c>
      <c r="N119" s="75">
        <v>3</v>
      </c>
      <c r="O119" s="380"/>
      <c r="P119" s="380"/>
      <c r="Q119" s="86">
        <f>MAX((MAX(Stats!$E$2,Ranking!$C$13)-15)*5,0)</f>
        <v>0</v>
      </c>
      <c r="R119" s="83">
        <v>300</v>
      </c>
    </row>
    <row r="120" spans="1:18" x14ac:dyDescent="0.2">
      <c r="A120" s="96" t="s">
        <v>268</v>
      </c>
      <c r="B120" s="79" t="s">
        <v>671</v>
      </c>
      <c r="C120" s="126">
        <v>0</v>
      </c>
      <c r="D120" s="125">
        <f>M120+O120+(K120*N120)+IF(OR(LEFT(A120)="G",LEFT(A120)="S"),Stats!$E$3-15+Bonuses!$BO$3,IF(OR(LEFT(A120)="Q",LEFT(A120)="R"),Bonuses!$BQ$3,Bonuses!$BP$3))</f>
        <v>40</v>
      </c>
      <c r="E120" s="125">
        <f t="shared" si="7"/>
        <v>6</v>
      </c>
      <c r="F120" s="125">
        <f t="shared" si="8"/>
        <v>2</v>
      </c>
      <c r="G120" s="84" t="str">
        <f t="shared" si="9"/>
        <v>25 Feet</v>
      </c>
      <c r="H120" s="88" t="str">
        <f t="shared" si="10"/>
        <v>D+5 Mins</v>
      </c>
      <c r="I120" s="94" t="str">
        <f>"+"&amp;30 + (K120*3)&amp;" to MR."</f>
        <v>+30 to MR.</v>
      </c>
      <c r="J120" s="394">
        <v>200</v>
      </c>
      <c r="K120" s="80">
        <f>IF(ISERROR(C120*1),-1,C120+IF(LEFT(A120)="T",Bonuses!$BR$3,IF(LEFT(A120)="G",Bonuses!$BS$3,IF(LEFT(A120)="Q",Bonuses!$BT$3,IF(LEFT(A120)="S",Bonuses!$BU$3,IF(LEFT(A120)="R",Bonuses!$BV$3,0))))))+P120</f>
        <v>0</v>
      </c>
      <c r="L120" s="80">
        <v>1</v>
      </c>
      <c r="M120" s="75">
        <v>40</v>
      </c>
      <c r="N120" s="75">
        <v>3</v>
      </c>
      <c r="O120" s="380"/>
      <c r="P120" s="380"/>
      <c r="Q120" s="86">
        <f>MAX((MAX(Stats!$E$2,Ranking!$C$13)-15)*5,0)</f>
        <v>0</v>
      </c>
      <c r="R120" s="83">
        <v>300</v>
      </c>
    </row>
    <row r="122" spans="1:18" ht="15" customHeight="1" x14ac:dyDescent="0.2">
      <c r="A122" s="73"/>
      <c r="B122" s="73" t="s">
        <v>1095</v>
      </c>
      <c r="C122" s="74" t="s">
        <v>149</v>
      </c>
      <c r="D122" s="97" t="s">
        <v>231</v>
      </c>
      <c r="E122" s="97" t="s">
        <v>265</v>
      </c>
      <c r="F122" s="97" t="s">
        <v>266</v>
      </c>
      <c r="G122" s="74" t="s">
        <v>2</v>
      </c>
      <c r="H122" s="74" t="s">
        <v>232</v>
      </c>
      <c r="I122" s="74" t="s">
        <v>234</v>
      </c>
      <c r="J122" s="393" t="s">
        <v>233</v>
      </c>
      <c r="K122" s="75" t="s">
        <v>149</v>
      </c>
      <c r="L122" s="75" t="s">
        <v>235</v>
      </c>
      <c r="M122" s="75" t="s">
        <v>236</v>
      </c>
      <c r="N122" s="76" t="s">
        <v>269</v>
      </c>
      <c r="O122" s="3" t="s">
        <v>169</v>
      </c>
      <c r="P122" s="3" t="s">
        <v>171</v>
      </c>
      <c r="Q122" s="77" t="s">
        <v>237</v>
      </c>
      <c r="R122" s="78" t="s">
        <v>238</v>
      </c>
    </row>
    <row r="123" spans="1:18" x14ac:dyDescent="0.2">
      <c r="A123" s="95" t="s">
        <v>239</v>
      </c>
      <c r="B123" s="79" t="s">
        <v>813</v>
      </c>
      <c r="C123" s="126">
        <v>0</v>
      </c>
      <c r="D123" s="125"/>
      <c r="E123" s="125"/>
      <c r="F123" s="125"/>
      <c r="I123" s="94" t="str">
        <f>CONCATENATE("Concentration + ",5+K123,"%.")</f>
        <v>Concentration + 5%.</v>
      </c>
      <c r="J123" s="394">
        <v>300</v>
      </c>
      <c r="K123" s="80">
        <f>IF(ISERROR(C123*1),-1,C123+IF(LEFT(A123)="T",Bonuses!$BR$3,IF(LEFT(A123)="G",Bonuses!$BS$3,IF(LEFT(A123)="Q",Bonuses!$BT$3,IF(LEFT(A123)="S",Bonuses!$BU$3,IF(LEFT(A123)="R",Bonuses!$BV$3,0))))))+P123</f>
        <v>0</v>
      </c>
      <c r="L123" s="80">
        <v>0</v>
      </c>
      <c r="O123" s="380"/>
      <c r="P123" s="380"/>
    </row>
    <row r="124" spans="1:18" x14ac:dyDescent="0.2">
      <c r="A124" s="95" t="s">
        <v>611</v>
      </c>
      <c r="B124" s="79" t="s">
        <v>814</v>
      </c>
      <c r="C124" s="126">
        <v>0</v>
      </c>
      <c r="D124" s="125"/>
      <c r="E124" s="125"/>
      <c r="F124" s="125"/>
      <c r="G124" s="84"/>
      <c r="I124" s="94" t="str">
        <f>CONCATENATE("Reduce Fire/Cold damage by ",1+TRUNC(K124/5),".")</f>
        <v>Reduce Fire/Cold damage by 1.</v>
      </c>
      <c r="J124" s="394">
        <v>250</v>
      </c>
      <c r="K124" s="80">
        <f>IF(ISERROR(C124*1),-1,C124+IF(LEFT(A124)="T",Bonuses!$BR$3,IF(LEFT(A124)="G",Bonuses!$BS$3,IF(LEFT(A124)="Q",Bonuses!$BT$3,IF(LEFT(A124)="S",Bonuses!$BU$3,IF(LEFT(A124)="R",Bonuses!$BV$3,0))))))+P124</f>
        <v>0</v>
      </c>
      <c r="L124" s="80">
        <v>0</v>
      </c>
      <c r="O124" s="380"/>
      <c r="P124" s="380"/>
    </row>
    <row r="125" spans="1:18" x14ac:dyDescent="0.2">
      <c r="A125" s="95" t="s">
        <v>746</v>
      </c>
      <c r="B125" s="79" t="s">
        <v>815</v>
      </c>
      <c r="C125" s="126">
        <v>0</v>
      </c>
      <c r="D125" s="125">
        <f>M125+O125+(K125*N125)+IF(OR(LEFT(A125)="G",LEFT(A125)="S"),Stats!$E$3-15+Bonuses!$BO$3,IF(OR(LEFT(A125)="Q",LEFT(A125)="R"),Bonuses!$BQ$3,Bonuses!$BP$3))</f>
        <v>5</v>
      </c>
      <c r="E125" s="125">
        <f t="shared" ref="E125:E146" si="12">D125*0.15</f>
        <v>0.75</v>
      </c>
      <c r="F125" s="125">
        <f t="shared" ref="F125:F146" si="13">D125*0.05</f>
        <v>0.25</v>
      </c>
      <c r="G125" s="84"/>
      <c r="I125" s="94" t="str">
        <f>CONCATENATE("Detect Ambush + ",2+(K125*2),"%.")</f>
        <v>Detect Ambush + 2%.</v>
      </c>
      <c r="J125" s="394">
        <v>300</v>
      </c>
      <c r="K125" s="80">
        <f>IF(ISERROR(C125*1),-1,C125+IF(LEFT(A125)="T",Bonuses!$BR$3,IF(LEFT(A125)="G",Bonuses!$BS$3,IF(LEFT(A125)="Q",Bonuses!$BT$3,IF(LEFT(A125)="S",Bonuses!$BU$3,IF(LEFT(A125)="R",Bonuses!$BV$3,0))))))+P125</f>
        <v>0</v>
      </c>
      <c r="L125" s="80">
        <v>0</v>
      </c>
      <c r="M125" s="75">
        <f>Stats!$I$3</f>
        <v>5</v>
      </c>
      <c r="N125" s="75">
        <v>3</v>
      </c>
      <c r="O125" s="380"/>
      <c r="P125" s="380"/>
    </row>
    <row r="126" spans="1:18" x14ac:dyDescent="0.2">
      <c r="A126" s="95" t="s">
        <v>241</v>
      </c>
      <c r="B126" s="79" t="s">
        <v>816</v>
      </c>
      <c r="C126" s="126">
        <v>0</v>
      </c>
      <c r="D126" s="125">
        <f>M126+O126+(K126*N126)+IF(OR(LEFT(A126)="G",LEFT(A126)="S"),Stats!$E$3-15+Bonuses!$BO$3,IF(OR(LEFT(A126)="Q",LEFT(A126)="R"),Bonuses!$BQ$3,Bonuses!$BP$3))</f>
        <v>40</v>
      </c>
      <c r="E126" s="125">
        <f t="shared" si="12"/>
        <v>6</v>
      </c>
      <c r="F126" s="125">
        <f t="shared" si="13"/>
        <v>2</v>
      </c>
      <c r="G126" s="84" t="str">
        <f>30+(15*K126)&amp;" Feet"</f>
        <v>30 Feet</v>
      </c>
      <c r="H126" s="85" t="s">
        <v>244</v>
      </c>
      <c r="J126" s="394">
        <v>100</v>
      </c>
      <c r="K126" s="80">
        <f>IF(ISERROR(C126*1),-1,C126+IF(LEFT(A126)="T",Bonuses!$BR$3,IF(LEFT(A126)="G",Bonuses!$BS$3,IF(LEFT(A126)="Q",Bonuses!$BT$3,IF(LEFT(A126)="S",Bonuses!$BU$3,IF(LEFT(A126)="R",Bonuses!$BV$3,0))))))+P126</f>
        <v>0</v>
      </c>
      <c r="L126" s="80">
        <v>1</v>
      </c>
      <c r="M126" s="75">
        <v>40</v>
      </c>
      <c r="N126" s="75">
        <v>3</v>
      </c>
      <c r="O126" s="380"/>
      <c r="P126" s="380"/>
      <c r="Q126" s="86">
        <f>MAX((MAX(Stats!$E$2,Ranking!$C$13)-15)*5,0)</f>
        <v>0</v>
      </c>
      <c r="R126" s="83">
        <v>300</v>
      </c>
    </row>
    <row r="127" spans="1:18" x14ac:dyDescent="0.2">
      <c r="A127" s="95" t="s">
        <v>242</v>
      </c>
      <c r="B127" s="79" t="s">
        <v>817</v>
      </c>
      <c r="C127" s="126">
        <v>0</v>
      </c>
      <c r="D127" s="125">
        <f>M127+O127+(K127*N127)+IF(OR(LEFT(A127)="G",LEFT(A127)="S"),Stats!$E$3-15+Bonuses!$BO$3,IF(OR(LEFT(A127)="Q",LEFT(A127)="R"),Bonuses!$BQ$3,Bonuses!$BP$3))</f>
        <v>30</v>
      </c>
      <c r="E127" s="125">
        <f t="shared" si="12"/>
        <v>4.5</v>
      </c>
      <c r="F127" s="125">
        <f t="shared" si="13"/>
        <v>1.5</v>
      </c>
      <c r="G127" s="84" t="str">
        <f>30+(15*K127)&amp;" Feet"</f>
        <v>30 Feet</v>
      </c>
      <c r="H127" s="85" t="s">
        <v>244</v>
      </c>
      <c r="I127" s="94" t="s">
        <v>818</v>
      </c>
      <c r="J127" s="394">
        <v>650</v>
      </c>
      <c r="K127" s="80">
        <f>IF(ISERROR(C127*1),-1,C127+IF(LEFT(A127)="T",Bonuses!$BR$3,IF(LEFT(A127)="G",Bonuses!$BS$3,IF(LEFT(A127)="Q",Bonuses!$BT$3,IF(LEFT(A127)="S",Bonuses!$BU$3,IF(LEFT(A127)="R",Bonuses!$BV$3,0))))))+P127</f>
        <v>0</v>
      </c>
      <c r="L127" s="80">
        <v>1</v>
      </c>
      <c r="M127" s="75">
        <v>30</v>
      </c>
      <c r="N127" s="75">
        <v>3</v>
      </c>
      <c r="O127" s="380"/>
      <c r="P127" s="380"/>
      <c r="Q127" s="86">
        <f>MAX((MAX(Stats!$E$2,Ranking!$C$13)-15)*5,0)</f>
        <v>0</v>
      </c>
      <c r="R127" s="83">
        <v>300</v>
      </c>
    </row>
    <row r="128" spans="1:18" x14ac:dyDescent="0.2">
      <c r="A128" s="95" t="s">
        <v>243</v>
      </c>
      <c r="B128" s="79" t="s">
        <v>819</v>
      </c>
      <c r="C128" s="126">
        <v>0</v>
      </c>
      <c r="D128" s="125">
        <f>M128+O128+(K128*N128)+IF(OR(LEFT(A128)="G",LEFT(A128)="S"),Stats!$E$3-15+Bonuses!$BO$3,IF(OR(LEFT(A128)="Q",LEFT(A128)="R"),Bonuses!$BQ$3,Bonuses!$BP$3))</f>
        <v>20</v>
      </c>
      <c r="E128" s="125">
        <f t="shared" si="12"/>
        <v>3</v>
      </c>
      <c r="F128" s="125">
        <f t="shared" si="13"/>
        <v>1</v>
      </c>
      <c r="G128" s="84" t="str">
        <f>IF(K128&lt;10,"Touch",(K128-9)*15&amp;" Feet")</f>
        <v>Touch</v>
      </c>
      <c r="H128" s="85" t="s">
        <v>240</v>
      </c>
      <c r="I128" s="94" t="s">
        <v>820</v>
      </c>
      <c r="J128" s="394">
        <v>200</v>
      </c>
      <c r="K128" s="80">
        <f>IF(ISERROR(C128*1),-1,C128+IF(LEFT(A128)="T",Bonuses!$BR$3,IF(LEFT(A128)="G",Bonuses!$BS$3,IF(LEFT(A128)="Q",Bonuses!$BT$3,IF(LEFT(A128)="S",Bonuses!$BU$3,IF(LEFT(A128)="R",Bonuses!$BV$3,0))))))+P128</f>
        <v>0</v>
      </c>
      <c r="L128" s="80">
        <v>1</v>
      </c>
      <c r="M128" s="75">
        <v>20</v>
      </c>
      <c r="N128" s="75">
        <v>3</v>
      </c>
      <c r="O128" s="380"/>
      <c r="P128" s="380"/>
      <c r="Q128" s="86">
        <f>MAX((MAX(Stats!$E$2,Ranking!$C$13)-15)*5,0)</f>
        <v>0</v>
      </c>
      <c r="R128" s="83">
        <v>300</v>
      </c>
    </row>
    <row r="129" spans="1:19" x14ac:dyDescent="0.2">
      <c r="A129" s="95" t="s">
        <v>245</v>
      </c>
      <c r="B129" s="79" t="s">
        <v>821</v>
      </c>
      <c r="C129" s="126">
        <v>0</v>
      </c>
      <c r="D129" s="125">
        <f>M129+O129+(K129*N129)+IF(OR(LEFT(A129)="G",LEFT(A129)="S"),Stats!$E$3-15+Bonuses!$BO$3,IF(OR(LEFT(A129)="Q",LEFT(A129)="R"),Bonuses!$BQ$3,Bonuses!$BP$3))</f>
        <v>40</v>
      </c>
      <c r="E129" s="125">
        <f t="shared" si="12"/>
        <v>6</v>
      </c>
      <c r="F129" s="125">
        <f t="shared" si="13"/>
        <v>2</v>
      </c>
      <c r="G129" s="84" t="str">
        <f>15+(15*K129)&amp;" Feet"</f>
        <v>15 Feet</v>
      </c>
      <c r="H129" s="85" t="str">
        <f>30+(10*K129)&amp;" Secs"</f>
        <v>30 Secs</v>
      </c>
      <c r="J129" s="394">
        <v>100</v>
      </c>
      <c r="K129" s="80">
        <f>IF(ISERROR(C129*1),-1,C129+IF(LEFT(A129)="T",Bonuses!$BR$3,IF(LEFT(A129)="G",Bonuses!$BS$3,IF(LEFT(A129)="Q",Bonuses!$BT$3,IF(LEFT(A129)="S",Bonuses!$BU$3,IF(LEFT(A129)="R",Bonuses!$BV$3,0))))))+P129</f>
        <v>0</v>
      </c>
      <c r="L129" s="80">
        <v>1</v>
      </c>
      <c r="M129" s="75">
        <v>40</v>
      </c>
      <c r="N129" s="75">
        <v>3</v>
      </c>
      <c r="O129" s="380"/>
      <c r="P129" s="380"/>
      <c r="Q129" s="86">
        <f>MAX((MAX(Stats!$E$2,Ranking!$C$13)-15)*5,0)</f>
        <v>0</v>
      </c>
      <c r="R129" s="83">
        <v>300</v>
      </c>
    </row>
    <row r="130" spans="1:19" x14ac:dyDescent="0.2">
      <c r="A130" s="95" t="s">
        <v>246</v>
      </c>
      <c r="B130" s="79" t="s">
        <v>822</v>
      </c>
      <c r="C130" s="126">
        <v>0</v>
      </c>
      <c r="D130" s="125">
        <f>M130+O130+(K130*N130)+IF(OR(LEFT(A130)="G",LEFT(A130)="S"),Stats!$E$3-15+Bonuses!$BO$3,IF(OR(LEFT(A130)="Q",LEFT(A130)="R"),Bonuses!$BQ$3,Bonuses!$BP$3))</f>
        <v>40</v>
      </c>
      <c r="E130" s="125">
        <f t="shared" si="12"/>
        <v>6</v>
      </c>
      <c r="F130" s="125">
        <f t="shared" si="13"/>
        <v>2</v>
      </c>
      <c r="G130" s="84"/>
      <c r="H130" s="85" t="s">
        <v>244</v>
      </c>
      <c r="I130" s="94" t="str">
        <f>CONCATENATE("1 Post Hyp Suggestion for ",3+(K130*3)," hours")</f>
        <v>1 Post Hyp Suggestion for 3 hours</v>
      </c>
      <c r="J130" s="394">
        <v>200</v>
      </c>
      <c r="K130" s="80">
        <f>IF(ISERROR(C130*1),-1,C130+IF(LEFT(A130)="T",Bonuses!$BR$3,IF(LEFT(A130)="G",Bonuses!$BS$3,IF(LEFT(A130)="Q",Bonuses!$BT$3,IF(LEFT(A130)="S",Bonuses!$BU$3,IF(LEFT(A130)="R",Bonuses!$BV$3,0))))))+P130</f>
        <v>0</v>
      </c>
      <c r="L130" s="80">
        <v>1</v>
      </c>
      <c r="M130" s="75">
        <v>40</v>
      </c>
      <c r="N130" s="75">
        <v>3</v>
      </c>
      <c r="O130" s="380"/>
      <c r="P130" s="380"/>
      <c r="Q130" s="86">
        <f>MAX((MAX(Stats!$E$2,Ranking!$C$13)-15)*5,0)</f>
        <v>0</v>
      </c>
      <c r="R130" s="83">
        <v>300</v>
      </c>
    </row>
    <row r="131" spans="1:19" x14ac:dyDescent="0.2">
      <c r="A131" s="95" t="s">
        <v>247</v>
      </c>
      <c r="B131" s="79" t="s">
        <v>823</v>
      </c>
      <c r="C131" s="126">
        <v>0</v>
      </c>
      <c r="D131" s="125">
        <f>M131+O131+(K131*N131)+IF(OR(LEFT(A131)="G",LEFT(A131)="S"),Stats!$E$3-15+Bonuses!$BO$3,IF(OR(LEFT(A131)="Q",LEFT(A131)="R"),Bonuses!$BQ$3,Bonuses!$BP$3))</f>
        <v>20</v>
      </c>
      <c r="E131" s="125">
        <f t="shared" si="12"/>
        <v>3</v>
      </c>
      <c r="F131" s="125">
        <f t="shared" si="13"/>
        <v>1</v>
      </c>
      <c r="G131" s="84" t="str">
        <f>10*(1+K131)&amp;" Feet"</f>
        <v>10 Feet</v>
      </c>
      <c r="H131" s="85" t="s">
        <v>240</v>
      </c>
      <c r="I131" s="94" t="str">
        <f>CONCATENATE(1 + K131," Hours into the Future")</f>
        <v>1 Hours into the Future</v>
      </c>
      <c r="J131" s="394">
        <v>150</v>
      </c>
      <c r="K131" s="80">
        <f>IF(ISERROR(C131*1),-1,C131+IF(LEFT(A131)="T",Bonuses!$BR$3,IF(LEFT(A131)="G",Bonuses!$BS$3,IF(LEFT(A131)="Q",Bonuses!$BT$3,IF(LEFT(A131)="S",Bonuses!$BU$3,IF(LEFT(A131)="R",Bonuses!$BV$3,0))))))+P131</f>
        <v>0</v>
      </c>
      <c r="L131" s="80">
        <v>1</v>
      </c>
      <c r="M131" s="75">
        <v>20</v>
      </c>
      <c r="N131" s="75">
        <v>3</v>
      </c>
      <c r="O131" s="380"/>
      <c r="P131" s="380"/>
      <c r="Q131" s="86">
        <f>MAX((MAX(Stats!$E$2,Ranking!$C$13)-15)*5,0)</f>
        <v>0</v>
      </c>
      <c r="R131" s="83">
        <v>300</v>
      </c>
    </row>
    <row r="132" spans="1:19" x14ac:dyDescent="0.2">
      <c r="A132" s="95" t="s">
        <v>248</v>
      </c>
      <c r="B132" s="79" t="s">
        <v>824</v>
      </c>
      <c r="C132" s="126">
        <v>0</v>
      </c>
      <c r="D132" s="125">
        <f>M132+O132+(K132*N132)+IF(OR(LEFT(A132)="G",LEFT(A132)="S"),Stats!$E$3-15+Bonuses!$BO$3,IF(OR(LEFT(A132)="Q",LEFT(A132)="R"),Bonuses!$BQ$3,Bonuses!$BP$3))</f>
        <v>30</v>
      </c>
      <c r="E132" s="125">
        <f t="shared" si="12"/>
        <v>4.5</v>
      </c>
      <c r="F132" s="125">
        <f t="shared" si="13"/>
        <v>1.5</v>
      </c>
      <c r="G132" s="84" t="s">
        <v>616</v>
      </c>
      <c r="H132" s="85" t="str">
        <f>1+K132*2&amp;" Hours"</f>
        <v>1 Hours</v>
      </c>
      <c r="I132" s="94" t="str">
        <f>CONCATENATE("+",10 + (K132*2)," to MR vs Mental Attack")</f>
        <v>+10 to MR vs Mental Attack</v>
      </c>
      <c r="J132" s="394">
        <v>250</v>
      </c>
      <c r="K132" s="80">
        <f>IF(ISERROR(C132*1),-1,C132+IF(LEFT(A132)="T",Bonuses!$BR$3,IF(LEFT(A132)="G",Bonuses!$BS$3,IF(LEFT(A132)="Q",Bonuses!$BT$3,IF(LEFT(A132)="S",Bonuses!$BU$3,IF(LEFT(A132)="R",Bonuses!$BV$3,0))))))+P132</f>
        <v>0</v>
      </c>
      <c r="L132" s="80">
        <v>1</v>
      </c>
      <c r="M132" s="75">
        <v>30</v>
      </c>
      <c r="N132" s="75">
        <v>3</v>
      </c>
      <c r="O132" s="380"/>
      <c r="P132" s="380"/>
      <c r="Q132" s="86">
        <f>MAX((MAX(Stats!$E$2,Ranking!$C$13)-15)*5,0)</f>
        <v>0</v>
      </c>
      <c r="R132" s="83">
        <v>300</v>
      </c>
    </row>
    <row r="133" spans="1:19" x14ac:dyDescent="0.2">
      <c r="A133" s="96" t="s">
        <v>268</v>
      </c>
      <c r="B133" s="79" t="s">
        <v>825</v>
      </c>
      <c r="C133" s="126">
        <v>0</v>
      </c>
      <c r="D133" s="125">
        <f>M133+O133+(K133*N133)+IF(OR(LEFT(A133)="G",LEFT(A133)="S"),Stats!$E$3-15+Bonuses!$BO$3,IF(OR(LEFT(A133)="Q",LEFT(A133)="R"),Bonuses!$BQ$3,Bonuses!$BP$3))</f>
        <v>40</v>
      </c>
      <c r="E133" s="125">
        <f t="shared" si="12"/>
        <v>6</v>
      </c>
      <c r="F133" s="125">
        <f t="shared" si="13"/>
        <v>2</v>
      </c>
      <c r="G133" s="84" t="str">
        <f>25+(25*K133)&amp;" Feet"</f>
        <v>25 Feet</v>
      </c>
      <c r="H133" s="88" t="str">
        <f>"D+"&amp;5+K133&amp;" Mins"</f>
        <v>D+5 Mins</v>
      </c>
      <c r="I133" s="94" t="str">
        <f>CONCATENATE("+",30 + (K133*3)," to MR vs Generals")</f>
        <v>+30 to MR vs Generals</v>
      </c>
      <c r="J133" s="394">
        <v>100</v>
      </c>
      <c r="K133" s="80">
        <f>IF(ISERROR(C133*1),-1,C133+IF(LEFT(A133)="T",Bonuses!$BR$3,IF(LEFT(A133)="G",Bonuses!$BS$3,IF(LEFT(A133)="Q",Bonuses!$BT$3,IF(LEFT(A133)="S",Bonuses!$BU$3,IF(LEFT(A133)="R",Bonuses!$BV$3,0))))))+P133</f>
        <v>0</v>
      </c>
      <c r="L133" s="80">
        <v>1</v>
      </c>
      <c r="M133" s="75">
        <v>40</v>
      </c>
      <c r="N133" s="75">
        <v>3</v>
      </c>
      <c r="O133" s="380"/>
      <c r="P133" s="380"/>
      <c r="Q133" s="86">
        <f>MAX((MAX(Stats!$E$2,Ranking!$C$13)-15)*5,0)</f>
        <v>0</v>
      </c>
      <c r="R133" s="83">
        <v>300</v>
      </c>
    </row>
    <row r="134" spans="1:19" x14ac:dyDescent="0.2">
      <c r="A134" s="96" t="s">
        <v>268</v>
      </c>
      <c r="B134" s="79" t="s">
        <v>826</v>
      </c>
      <c r="C134" s="126">
        <v>0</v>
      </c>
      <c r="D134" s="125">
        <f>M134+O134+(K134*N134)+IF(OR(LEFT(A134)="G",LEFT(A134)="S"),Stats!$E$3-15+Bonuses!$BO$3,IF(OR(LEFT(A134)="Q",LEFT(A134)="R"),Bonuses!$BQ$3,Bonuses!$BP$3))</f>
        <v>40</v>
      </c>
      <c r="E134" s="125">
        <f t="shared" si="12"/>
        <v>6</v>
      </c>
      <c r="F134" s="125">
        <f t="shared" si="13"/>
        <v>2</v>
      </c>
      <c r="G134" s="84" t="str">
        <f>25+(25*K134)&amp;" Feet"</f>
        <v>25 Feet</v>
      </c>
      <c r="H134" s="88" t="str">
        <f>"D+"&amp;5+K134&amp;" Mins"</f>
        <v>D+5 Mins</v>
      </c>
      <c r="I134" s="94" t="str">
        <f>CONCATENATE("+",30 + (K134*3)," to MR vs Specials")</f>
        <v>+30 to MR vs Specials</v>
      </c>
      <c r="J134" s="394">
        <v>200</v>
      </c>
      <c r="K134" s="80">
        <f>IF(ISERROR(C134*1),-1,C134+IF(LEFT(A134)="T",Bonuses!$BR$3,IF(LEFT(A134)="G",Bonuses!$BS$3,IF(LEFT(A134)="Q",Bonuses!$BT$3,IF(LEFT(A134)="S",Bonuses!$BU$3,IF(LEFT(A134)="R",Bonuses!$BV$3,0))))))+P134</f>
        <v>0</v>
      </c>
      <c r="L134" s="80">
        <v>1</v>
      </c>
      <c r="M134" s="75">
        <v>40</v>
      </c>
      <c r="N134" s="75">
        <v>3</v>
      </c>
      <c r="O134" s="380"/>
      <c r="P134" s="380"/>
      <c r="Q134" s="86">
        <f>MAX((MAX(Stats!$E$2,Ranking!$C$13)-15)*5,0)</f>
        <v>0</v>
      </c>
      <c r="R134" s="83">
        <v>300</v>
      </c>
    </row>
    <row r="135" spans="1:19" x14ac:dyDescent="0.2">
      <c r="A135" s="96" t="s">
        <v>251</v>
      </c>
      <c r="B135" s="87" t="s">
        <v>827</v>
      </c>
      <c r="C135" s="126">
        <v>0</v>
      </c>
      <c r="D135" s="125">
        <f>M135+O135+(K135*N135)+IF(OR(LEFT(A135)="G",LEFT(A135)="S"),Stats!$E$3-15+Bonuses!$BO$3,IF(OR(LEFT(A135)="Q",LEFT(A135)="R"),Bonuses!$BQ$3,Bonuses!$BP$3))</f>
        <v>10</v>
      </c>
      <c r="E135" s="125">
        <f t="shared" si="12"/>
        <v>1.5</v>
      </c>
      <c r="F135" s="125">
        <f t="shared" si="13"/>
        <v>0.5</v>
      </c>
      <c r="G135" s="84"/>
      <c r="H135" s="85" t="str">
        <f>1+K135&amp;" Days"</f>
        <v>1 Days</v>
      </c>
      <c r="I135" s="90"/>
      <c r="J135" s="395">
        <v>500</v>
      </c>
      <c r="K135" s="80">
        <f>IF(ISERROR(C135*1),-1,C135+IF(LEFT(A135)="T",Bonuses!$BR$3,IF(LEFT(A135)="G",Bonuses!$BS$3,IF(LEFT(A135)="Q",Bonuses!$BT$3,IF(LEFT(A135)="S",Bonuses!$BU$3,IF(LEFT(A135)="R",Bonuses!$BV$3,0))))))+P135</f>
        <v>0</v>
      </c>
      <c r="L135" s="80">
        <v>7</v>
      </c>
      <c r="M135" s="89">
        <v>10</v>
      </c>
      <c r="N135" s="75">
        <v>5</v>
      </c>
      <c r="O135" s="380"/>
      <c r="P135" s="380"/>
      <c r="Q135" s="86">
        <f>MAX((MAX(Stats!$E$2,Ranking!$C$13)-15)*5,0)</f>
        <v>0</v>
      </c>
      <c r="R135" s="83">
        <v>300</v>
      </c>
    </row>
    <row r="136" spans="1:19" x14ac:dyDescent="0.2">
      <c r="A136" s="96" t="s">
        <v>298</v>
      </c>
      <c r="B136" s="87" t="s">
        <v>252</v>
      </c>
      <c r="C136" s="126">
        <v>0</v>
      </c>
      <c r="D136" s="125">
        <f>M136+O136+(K136*N136)+IF(OR(LEFT(A136)="G",LEFT(A136)="S"),Stats!$E$3-15+Bonuses!$BO$3,IF(OR(LEFT(A136)="Q",LEFT(A136)="R"),Bonuses!$BQ$3,Bonuses!$BP$3))</f>
        <v>30</v>
      </c>
      <c r="E136" s="125">
        <f t="shared" si="12"/>
        <v>4.5</v>
      </c>
      <c r="F136" s="125">
        <f t="shared" si="13"/>
        <v>1.5</v>
      </c>
      <c r="G136" s="84" t="s">
        <v>616</v>
      </c>
      <c r="H136" s="85" t="str">
        <f>4+K136*4&amp;" Hours"</f>
        <v>4 Hours</v>
      </c>
      <c r="I136" s="90" t="str">
        <f>CONCATENATE("+ ",K136," MR. +",TRUNC(K136/5)," MA.")</f>
        <v>+ 0 MR. +0 MA.</v>
      </c>
      <c r="J136" s="395">
        <v>200</v>
      </c>
      <c r="K136" s="80">
        <f>IF(ISERROR(C136*1),-1,C136+IF(LEFT(A136)="T",Bonuses!$BR$3,IF(LEFT(A136)="G",Bonuses!$BS$3,IF(LEFT(A136)="Q",Bonuses!$BT$3,IF(LEFT(A136)="S",Bonuses!$BU$3,IF(LEFT(A136)="R",Bonuses!$BV$3,0))))))+P136</f>
        <v>0</v>
      </c>
      <c r="L136" s="80">
        <v>7</v>
      </c>
      <c r="M136" s="75">
        <f>Stats!$E$3+Stats!$F$3</f>
        <v>30</v>
      </c>
      <c r="N136" s="75">
        <v>3</v>
      </c>
      <c r="O136" s="380"/>
      <c r="P136" s="380"/>
      <c r="Q136" s="86">
        <f>MAX((MAX(Stats!$E$2,Ranking!$C$13)-15)*5,0)</f>
        <v>0</v>
      </c>
      <c r="R136" s="83">
        <v>300</v>
      </c>
    </row>
    <row r="137" spans="1:19" x14ac:dyDescent="0.2">
      <c r="A137" s="95" t="s">
        <v>253</v>
      </c>
      <c r="B137" s="79" t="s">
        <v>828</v>
      </c>
      <c r="C137" s="126" t="s">
        <v>283</v>
      </c>
      <c r="D137" s="125">
        <f>M137+O137+(K137*N137)+IF(OR(LEFT(A137)="G",LEFT(A137)="S"),Stats!$E$3-15+Bonuses!$BO$3,IF(OR(LEFT(A137)="Q",LEFT(A137)="R"),Bonuses!$BQ$3,Bonuses!$BP$3))</f>
        <v>22</v>
      </c>
      <c r="E137" s="125">
        <f t="shared" si="12"/>
        <v>3.3</v>
      </c>
      <c r="F137" s="125">
        <f t="shared" si="13"/>
        <v>1.1000000000000001</v>
      </c>
      <c r="G137" s="84" t="str">
        <f>15+(15*K137)&amp;" Feet"</f>
        <v>0 Feet</v>
      </c>
      <c r="H137" s="85" t="s">
        <v>240</v>
      </c>
      <c r="I137" s="94" t="str">
        <f>CONCATENATE("D+",1 + K137," Damage, Resist for Half")</f>
        <v>D+0 Damage, Resist for Half</v>
      </c>
      <c r="J137" s="394">
        <v>400</v>
      </c>
      <c r="K137" s="80">
        <f>IF(ISERROR(C137*1),-1,C137+IF(LEFT(A137)="T",Bonuses!$BR$3,IF(LEFT(A137)="G",Bonuses!$BS$3,IF(LEFT(A137)="Q",Bonuses!$BT$3,IF(LEFT(A137)="S",Bonuses!$BU$3,IF(LEFT(A137)="R",Bonuses!$BV$3,0))))))+P137</f>
        <v>-1</v>
      </c>
      <c r="L137" s="80">
        <v>1</v>
      </c>
      <c r="M137" s="75">
        <v>25</v>
      </c>
      <c r="N137" s="75">
        <v>3</v>
      </c>
      <c r="O137" s="380"/>
      <c r="P137" s="380"/>
      <c r="Q137" s="86"/>
      <c r="R137" s="83">
        <v>7500</v>
      </c>
    </row>
    <row r="138" spans="1:19" s="92" customFormat="1" x14ac:dyDescent="0.2">
      <c r="A138" s="96" t="s">
        <v>254</v>
      </c>
      <c r="B138" s="87" t="s">
        <v>829</v>
      </c>
      <c r="C138" s="126" t="s">
        <v>283</v>
      </c>
      <c r="D138" s="125">
        <f>M138+O138+(K138*N138)+IF(OR(LEFT(A138)="G",LEFT(A138)="S"),Stats!$E$3-15+Bonuses!$BO$3,IF(OR(LEFT(A138)="Q",LEFT(A138)="R"),Bonuses!$BQ$3,Bonuses!$BP$3))</f>
        <v>37</v>
      </c>
      <c r="E138" s="125">
        <f t="shared" si="12"/>
        <v>5.55</v>
      </c>
      <c r="F138" s="125">
        <f>D138*0.05</f>
        <v>1.85</v>
      </c>
      <c r="G138" s="84" t="s">
        <v>616</v>
      </c>
      <c r="H138" s="85" t="str">
        <f>10+(10*K138)&amp;" Mins"</f>
        <v>0 Mins</v>
      </c>
      <c r="I138" s="90" t="str">
        <f>CONCATENATE("+",5 + K138,"% Defence")</f>
        <v>+4% Defence</v>
      </c>
      <c r="J138" s="395">
        <v>250</v>
      </c>
      <c r="K138" s="80">
        <f>IF(ISERROR(C138*1),-1,C138+IF(LEFT(A138)="T",Bonuses!$BR$3,IF(LEFT(A138)="G",Bonuses!$BS$3,IF(LEFT(A138)="Q",Bonuses!$BT$3,IF(LEFT(A138)="S",Bonuses!$BU$3,IF(LEFT(A138)="R",Bonuses!$BV$3,0))))))+P138</f>
        <v>-1</v>
      </c>
      <c r="L138" s="84">
        <v>1</v>
      </c>
      <c r="M138" s="89">
        <v>40</v>
      </c>
      <c r="N138" s="75">
        <v>3</v>
      </c>
      <c r="O138" s="380"/>
      <c r="P138" s="380"/>
      <c r="Q138" s="86"/>
      <c r="R138" s="91">
        <v>1500</v>
      </c>
      <c r="S138" s="84"/>
    </row>
    <row r="139" spans="1:19" x14ac:dyDescent="0.2">
      <c r="A139" s="95" t="s">
        <v>255</v>
      </c>
      <c r="B139" s="79" t="s">
        <v>800</v>
      </c>
      <c r="C139" s="126" t="s">
        <v>283</v>
      </c>
      <c r="D139" s="125">
        <f>M139+O139+(K139*N139)+IF(OR(LEFT(A139)="G",LEFT(A139)="S"),Stats!$E$3-15+Bonuses!$BO$3,IF(OR(LEFT(A139)="Q",LEFT(A139)="R"),Bonuses!$BQ$3,Bonuses!$BP$3))</f>
        <v>37</v>
      </c>
      <c r="E139" s="125">
        <f t="shared" si="12"/>
        <v>5.55</v>
      </c>
      <c r="F139" s="125">
        <f t="shared" si="13"/>
        <v>1.85</v>
      </c>
      <c r="G139" s="84" t="s">
        <v>679</v>
      </c>
      <c r="H139" s="84" t="s">
        <v>240</v>
      </c>
      <c r="I139" s="94" t="str">
        <f>CONCATENATE("Heal ",2 + K139," FT/EN Damage")</f>
        <v>Heal 1 FT/EN Damage</v>
      </c>
      <c r="J139" s="394">
        <v>375</v>
      </c>
      <c r="K139" s="80">
        <f>IF(ISERROR(C139*1),-1,C139+IF(LEFT(A139)="T",Bonuses!$BR$3,IF(LEFT(A139)="G",Bonuses!$BS$3,IF(LEFT(A139)="Q",Bonuses!$BT$3,IF(LEFT(A139)="S",Bonuses!$BU$3,IF(LEFT(A139)="R",Bonuses!$BV$3,0))))))+P139</f>
        <v>-1</v>
      </c>
      <c r="L139" s="80">
        <v>1</v>
      </c>
      <c r="M139" s="75">
        <v>40</v>
      </c>
      <c r="N139" s="75">
        <v>3</v>
      </c>
      <c r="O139" s="380"/>
      <c r="P139" s="380"/>
      <c r="R139" s="83">
        <v>5000</v>
      </c>
    </row>
    <row r="140" spans="1:19" x14ac:dyDescent="0.2">
      <c r="A140" s="95" t="s">
        <v>256</v>
      </c>
      <c r="B140" s="79" t="s">
        <v>830</v>
      </c>
      <c r="C140" s="126" t="s">
        <v>283</v>
      </c>
      <c r="D140" s="125">
        <f>M140+O140+(K140*N140)+IF(OR(LEFT(A140)="G",LEFT(A140)="S"),Stats!$E$3-15+Bonuses!$BO$3,IF(OR(LEFT(A140)="Q",LEFT(A140)="R"),Bonuses!$BQ$3,Bonuses!$BP$3))</f>
        <v>22</v>
      </c>
      <c r="E140" s="125">
        <f t="shared" si="12"/>
        <v>3.3</v>
      </c>
      <c r="F140" s="125">
        <f t="shared" si="13"/>
        <v>1.1000000000000001</v>
      </c>
      <c r="G140" s="84" t="str">
        <f>15+(15*K140)&amp;" Feet"</f>
        <v>0 Feet</v>
      </c>
      <c r="H140" s="85" t="str">
        <f>10+(10*K140)&amp;" Secs"</f>
        <v>0 Secs</v>
      </c>
      <c r="I140" s="94" t="str">
        <f>IF(K140&gt;14,"Unconscious &amp; D-5 WP","Unconscious")</f>
        <v>Unconscious</v>
      </c>
      <c r="J140" s="394">
        <v>350</v>
      </c>
      <c r="K140" s="80">
        <f>IF(ISERROR(C140*1),-1,C140+IF(LEFT(A140)="T",Bonuses!$BR$3,IF(LEFT(A140)="G",Bonuses!$BS$3,IF(LEFT(A140)="Q",Bonuses!$BT$3,IF(LEFT(A140)="S",Bonuses!$BU$3,IF(LEFT(A140)="R",Bonuses!$BV$3,0))))))+P140</f>
        <v>-1</v>
      </c>
      <c r="L140" s="80">
        <v>1</v>
      </c>
      <c r="M140" s="75">
        <v>25</v>
      </c>
      <c r="N140" s="75">
        <v>3</v>
      </c>
      <c r="O140" s="380"/>
      <c r="P140" s="380"/>
      <c r="R140" s="83">
        <v>2500</v>
      </c>
    </row>
    <row r="141" spans="1:19" x14ac:dyDescent="0.2">
      <c r="A141" s="95" t="s">
        <v>257</v>
      </c>
      <c r="B141" s="79" t="s">
        <v>831</v>
      </c>
      <c r="C141" s="126" t="s">
        <v>283</v>
      </c>
      <c r="D141" s="125">
        <f>M141+O141+(K141*N141)+IF(OR(LEFT(A141)="G",LEFT(A141)="S"),Stats!$E$3-15+Bonuses!$BO$3,IF(OR(LEFT(A141)="Q",LEFT(A141)="R"),Bonuses!$BQ$3,Bonuses!$BP$3))</f>
        <v>17</v>
      </c>
      <c r="E141" s="125">
        <f t="shared" si="12"/>
        <v>2.5499999999999998</v>
      </c>
      <c r="F141" s="125">
        <f t="shared" si="13"/>
        <v>0.85000000000000009</v>
      </c>
      <c r="G141" s="84" t="str">
        <f>30+(30*K141)&amp;" Feet"</f>
        <v>0 Feet</v>
      </c>
      <c r="H141" s="85" t="str">
        <f>10+(10*K141)&amp;" Mins"</f>
        <v>0 Mins</v>
      </c>
      <c r="I141" s="94" t="str">
        <f>CONCATENATE("Communicate with ",1 + K141," Entities")</f>
        <v>Communicate with 0 Entities</v>
      </c>
      <c r="J141" s="394">
        <v>400</v>
      </c>
      <c r="K141" s="80">
        <f>IF(ISERROR(C141*1),-1,C141+IF(LEFT(A141)="T",Bonuses!$BR$3,IF(LEFT(A141)="G",Bonuses!$BS$3,IF(LEFT(A141)="Q",Bonuses!$BT$3,IF(LEFT(A141)="S",Bonuses!$BU$3,IF(LEFT(A141)="R",Bonuses!$BV$3,0))))))+P141</f>
        <v>-1</v>
      </c>
      <c r="L141" s="80">
        <v>1</v>
      </c>
      <c r="M141" s="75">
        <v>20</v>
      </c>
      <c r="N141" s="75">
        <v>3</v>
      </c>
      <c r="O141" s="380"/>
      <c r="P141" s="380"/>
      <c r="R141" s="83">
        <v>15000</v>
      </c>
    </row>
    <row r="142" spans="1:19" x14ac:dyDescent="0.2">
      <c r="A142" s="95" t="s">
        <v>258</v>
      </c>
      <c r="B142" s="79" t="s">
        <v>832</v>
      </c>
      <c r="C142" s="126" t="s">
        <v>283</v>
      </c>
      <c r="D142" s="125">
        <f>M142+O142+(K142*N142)+IF(OR(LEFT(A142)="G",LEFT(A142)="S"),Stats!$E$3-15+Bonuses!$BO$3,IF(OR(LEFT(A142)="Q",LEFT(A142)="R"),Bonuses!$BQ$3,Bonuses!$BP$3))</f>
        <v>-2</v>
      </c>
      <c r="E142" s="125">
        <f t="shared" si="12"/>
        <v>-0.3</v>
      </c>
      <c r="F142" s="125">
        <f t="shared" si="13"/>
        <v>-0.1</v>
      </c>
      <c r="G142" s="84"/>
      <c r="H142" s="85" t="s">
        <v>244</v>
      </c>
      <c r="I142" s="94" t="str">
        <f>CONCATENATE("[D-4]+",K142," Dam, FT+EN=",20+TRUNC(K142/3*5,0),", TMR:",1+K142)</f>
        <v>[D-4]+-1 Dam, FT+EN=19, TMR:0</v>
      </c>
      <c r="J142" s="394">
        <v>400</v>
      </c>
      <c r="K142" s="80">
        <f>IF(ISERROR(C142*1),-1,C142+IF(LEFT(A142)="T",Bonuses!$BR$3,IF(LEFT(A142)="G",Bonuses!$BS$3,IF(LEFT(A142)="Q",Bonuses!$BT$3,IF(LEFT(A142)="S",Bonuses!$BU$3,IF(LEFT(A142)="R",Bonuses!$BV$3,0))))))+P142</f>
        <v>-1</v>
      </c>
      <c r="L142" s="80">
        <v>1</v>
      </c>
      <c r="M142" s="75">
        <v>1</v>
      </c>
      <c r="N142" s="75">
        <v>3</v>
      </c>
      <c r="O142" s="380"/>
      <c r="P142" s="380"/>
      <c r="R142" s="83">
        <v>7000</v>
      </c>
    </row>
    <row r="143" spans="1:19" x14ac:dyDescent="0.2">
      <c r="A143" s="95" t="s">
        <v>259</v>
      </c>
      <c r="B143" s="79" t="s">
        <v>289</v>
      </c>
      <c r="C143" s="126" t="s">
        <v>283</v>
      </c>
      <c r="D143" s="125">
        <f>M143+O143+(K143*N143)+IF(OR(LEFT(A143)="G",LEFT(A143)="S"),Stats!$E$3-15+Bonuses!$BO$3,IF(OR(LEFT(A143)="Q",LEFT(A143)="R"),Bonuses!$BQ$3,Bonuses!$BP$3))</f>
        <v>22</v>
      </c>
      <c r="E143" s="125">
        <f t="shared" si="12"/>
        <v>3.3</v>
      </c>
      <c r="F143" s="125">
        <f t="shared" si="13"/>
        <v>1.1000000000000001</v>
      </c>
      <c r="G143" s="84" t="str">
        <f>15+(15*K143)&amp;" Feet"</f>
        <v>0 Feet</v>
      </c>
      <c r="H143" s="85" t="str">
        <f>10+(10*K143)&amp;" Secs"</f>
        <v>0 Secs</v>
      </c>
      <c r="I143" s="94" t="str">
        <f>CONCATENATE("Mv 2 lbs @ 2 TMR +",K143*5," lbs or +",K143*3," TMR.")</f>
        <v>Mv 2 lbs @ 2 TMR +-5 lbs or +-3 TMR.</v>
      </c>
      <c r="J143" s="394">
        <v>250</v>
      </c>
      <c r="K143" s="80">
        <f>IF(ISERROR(C143*1),-1,C143+IF(LEFT(A143)="T",Bonuses!$BR$3,IF(LEFT(A143)="G",Bonuses!$BS$3,IF(LEFT(A143)="Q",Bonuses!$BT$3,IF(LEFT(A143)="S",Bonuses!$BU$3,IF(LEFT(A143)="R",Bonuses!$BV$3,0))))))+P143</f>
        <v>-1</v>
      </c>
      <c r="L143" s="80">
        <v>1</v>
      </c>
      <c r="M143" s="75">
        <v>25</v>
      </c>
      <c r="N143" s="75">
        <v>3</v>
      </c>
      <c r="O143" s="380"/>
      <c r="P143" s="380"/>
      <c r="R143" s="83">
        <v>3000</v>
      </c>
    </row>
    <row r="144" spans="1:19" x14ac:dyDescent="0.2">
      <c r="A144" s="95" t="s">
        <v>260</v>
      </c>
      <c r="B144" s="79" t="s">
        <v>833</v>
      </c>
      <c r="C144" s="126" t="s">
        <v>283</v>
      </c>
      <c r="D144" s="125">
        <f>M144+O144+(K144*N144)+IF(OR(LEFT(A144)="G",LEFT(A144)="S"),Stats!$E$3-15+Bonuses!$BO$3,IF(OR(LEFT(A144)="Q",LEFT(A144)="R"),Bonuses!$BQ$3,Bonuses!$BP$3))</f>
        <v>-2</v>
      </c>
      <c r="E144" s="125">
        <f t="shared" si="12"/>
        <v>-0.3</v>
      </c>
      <c r="F144" s="125">
        <f t="shared" si="13"/>
        <v>-0.1</v>
      </c>
      <c r="G144" s="84" t="str">
        <f>30+(5*K144)&amp;" Feet"</f>
        <v>25 Feet</v>
      </c>
      <c r="H144" s="85" t="s">
        <v>240</v>
      </c>
      <c r="I144" s="94" t="s">
        <v>834</v>
      </c>
      <c r="J144" s="394">
        <v>750</v>
      </c>
      <c r="K144" s="80">
        <f>IF(ISERROR(C144*1),-1,C144+IF(LEFT(A144)="T",Bonuses!$BR$3,IF(LEFT(A144)="G",Bonuses!$BS$3,IF(LEFT(A144)="Q",Bonuses!$BT$3,IF(LEFT(A144)="S",Bonuses!$BU$3,IF(LEFT(A144)="R",Bonuses!$BV$3,0))))))+P144</f>
        <v>-1</v>
      </c>
      <c r="L144" s="80">
        <v>1</v>
      </c>
      <c r="M144" s="75">
        <v>1</v>
      </c>
      <c r="N144" s="75">
        <v>3</v>
      </c>
      <c r="O144" s="380"/>
      <c r="P144" s="380"/>
      <c r="R144" s="83">
        <v>10000</v>
      </c>
    </row>
    <row r="145" spans="1:18" x14ac:dyDescent="0.2">
      <c r="A145" s="95" t="s">
        <v>261</v>
      </c>
      <c r="B145" s="79" t="s">
        <v>835</v>
      </c>
      <c r="C145" s="126" t="s">
        <v>283</v>
      </c>
      <c r="D145" s="125">
        <f>M145+O145+(K145*N145)+IF(OR(LEFT(A145)="G",LEFT(A145)="S"),Stats!$E$3-15+Bonuses!$BO$3,IF(OR(LEFT(A145)="Q",LEFT(A145)="R"),Bonuses!$BQ$3,Bonuses!$BP$3))</f>
        <v>7</v>
      </c>
      <c r="E145" s="125">
        <f t="shared" si="12"/>
        <v>1.05</v>
      </c>
      <c r="F145" s="125">
        <f t="shared" si="13"/>
        <v>0.35000000000000003</v>
      </c>
      <c r="G145" s="84" t="str">
        <f>30+(30*K145)&amp;" Feet"</f>
        <v>0 Feet</v>
      </c>
      <c r="H145" s="85" t="str">
        <f>10+(10*K145)&amp;" Mins"</f>
        <v>0 Mins</v>
      </c>
      <c r="J145" s="394">
        <v>550</v>
      </c>
      <c r="K145" s="80">
        <f>IF(ISERROR(C145*1),-1,C145+IF(LEFT(A145)="T",Bonuses!$BR$3,IF(LEFT(A145)="G",Bonuses!$BS$3,IF(LEFT(A145)="Q",Bonuses!$BT$3,IF(LEFT(A145)="S",Bonuses!$BU$3,IF(LEFT(A145)="R",Bonuses!$BV$3,0))))))+P145</f>
        <v>-1</v>
      </c>
      <c r="L145" s="80">
        <v>1</v>
      </c>
      <c r="M145" s="75">
        <v>10</v>
      </c>
      <c r="N145" s="75">
        <v>3</v>
      </c>
      <c r="O145" s="380"/>
      <c r="P145" s="380"/>
      <c r="R145" s="83">
        <v>8000</v>
      </c>
    </row>
    <row r="146" spans="1:18" x14ac:dyDescent="0.2">
      <c r="A146" s="95" t="s">
        <v>262</v>
      </c>
      <c r="B146" s="79" t="s">
        <v>836</v>
      </c>
      <c r="C146" s="126" t="s">
        <v>283</v>
      </c>
      <c r="D146" s="125">
        <f>M146+O146+(K146*N146)+IF(OR(LEFT(A146)="G",LEFT(A146)="S"),Stats!$E$3-15+Bonuses!$BO$3,IF(OR(LEFT(A146)="Q",LEFT(A146)="R"),Bonuses!$BQ$3,Bonuses!$BP$3))</f>
        <v>-2</v>
      </c>
      <c r="E146" s="125">
        <f t="shared" si="12"/>
        <v>-0.3</v>
      </c>
      <c r="F146" s="125">
        <f t="shared" si="13"/>
        <v>-0.1</v>
      </c>
      <c r="G146" s="84" t="str">
        <f>15+(15*K146)&amp;" Feet"</f>
        <v>0 Feet</v>
      </c>
      <c r="H146" s="85" t="str">
        <f>10+(10*K146)&amp;" Mins"</f>
        <v>0 Mins</v>
      </c>
      <c r="I146" s="94" t="s">
        <v>837</v>
      </c>
      <c r="J146" s="394">
        <v>1000</v>
      </c>
      <c r="K146" s="80">
        <f>IF(ISERROR(C146*1),-1,C146+IF(LEFT(A146)="T",Bonuses!$BR$3,IF(LEFT(A146)="G",Bonuses!$BS$3,IF(LEFT(A146)="Q",Bonuses!$BT$3,IF(LEFT(A146)="S",Bonuses!$BU$3,IF(LEFT(A146)="R",Bonuses!$BV$3,0))))))+P146</f>
        <v>-1</v>
      </c>
      <c r="L146" s="80">
        <v>1</v>
      </c>
      <c r="M146" s="75">
        <v>1</v>
      </c>
      <c r="N146" s="75">
        <v>3</v>
      </c>
      <c r="O146" s="380"/>
      <c r="P146" s="380"/>
    </row>
    <row r="148" spans="1:18" ht="15" customHeight="1" x14ac:dyDescent="0.2">
      <c r="A148" s="73"/>
      <c r="B148" s="73" t="s">
        <v>1096</v>
      </c>
      <c r="C148" s="74" t="s">
        <v>149</v>
      </c>
      <c r="D148" s="97" t="s">
        <v>231</v>
      </c>
      <c r="E148" s="97" t="s">
        <v>265</v>
      </c>
      <c r="F148" s="97" t="s">
        <v>266</v>
      </c>
      <c r="G148" s="74" t="s">
        <v>2</v>
      </c>
      <c r="H148" s="74" t="s">
        <v>232</v>
      </c>
      <c r="I148" s="74" t="s">
        <v>234</v>
      </c>
      <c r="J148" s="393" t="s">
        <v>233</v>
      </c>
      <c r="K148" s="75" t="s">
        <v>149</v>
      </c>
      <c r="L148" s="75" t="s">
        <v>235</v>
      </c>
      <c r="M148" s="75" t="s">
        <v>236</v>
      </c>
      <c r="N148" s="76" t="s">
        <v>269</v>
      </c>
      <c r="O148" s="3" t="s">
        <v>169</v>
      </c>
      <c r="P148" s="3" t="s">
        <v>171</v>
      </c>
      <c r="Q148" s="77" t="s">
        <v>237</v>
      </c>
      <c r="R148" s="78" t="s">
        <v>238</v>
      </c>
    </row>
    <row r="149" spans="1:18" x14ac:dyDescent="0.2">
      <c r="A149" s="95" t="s">
        <v>239</v>
      </c>
      <c r="B149" s="79" t="s">
        <v>977</v>
      </c>
      <c r="C149" s="126">
        <v>0</v>
      </c>
      <c r="D149" s="257"/>
      <c r="E149" s="257"/>
      <c r="F149" s="257"/>
      <c r="G149" s="84"/>
      <c r="H149" s="151" t="s">
        <v>240</v>
      </c>
      <c r="I149" s="94" t="str">
        <f>CONCATENATE("-20% BC. 2xPC-",K149," observers to notice")</f>
        <v>-20% BC. 2xPC-0 observers to notice</v>
      </c>
      <c r="J149" s="394">
        <v>150</v>
      </c>
      <c r="K149" s="80">
        <f>IF(ISERROR(C149*1),-1,C149+IF(LEFT(A149)="T",Bonuses!$BR$3,IF(LEFT(A149)="G",Bonuses!$BS$3,IF(LEFT(A149)="Q",Bonuses!$BT$3,IF(LEFT(A149)="S",Bonuses!$BU$3,IF(LEFT(A149)="R",Bonuses!$BV$3,0))))))+P149</f>
        <v>0</v>
      </c>
      <c r="L149" s="80">
        <v>0</v>
      </c>
      <c r="O149" s="380"/>
      <c r="P149" s="380"/>
    </row>
    <row r="150" spans="1:18" x14ac:dyDescent="0.2">
      <c r="A150" s="95" t="s">
        <v>611</v>
      </c>
      <c r="B150" s="79" t="s">
        <v>978</v>
      </c>
      <c r="C150" s="126">
        <v>0</v>
      </c>
      <c r="D150" s="257"/>
      <c r="E150" s="257"/>
      <c r="F150" s="257"/>
      <c r="G150" s="84"/>
      <c r="I150" s="94" t="s">
        <v>1012</v>
      </c>
      <c r="J150" s="394">
        <v>75</v>
      </c>
      <c r="K150" s="80">
        <f>IF(ISERROR(C150*1),-1,C150+IF(LEFT(A150)="T",Bonuses!$BR$3,IF(LEFT(A150)="G",Bonuses!$BS$3,IF(LEFT(A150)="Q",Bonuses!$BT$3,IF(LEFT(A150)="S",Bonuses!$BU$3,IF(LEFT(A150)="R",Bonuses!$BV$3,0))))))+P150</f>
        <v>0</v>
      </c>
      <c r="L150" s="80">
        <v>0</v>
      </c>
      <c r="O150" s="380"/>
      <c r="P150" s="380"/>
    </row>
    <row r="151" spans="1:18" x14ac:dyDescent="0.2">
      <c r="A151" s="95" t="s">
        <v>746</v>
      </c>
      <c r="B151" s="79" t="s">
        <v>979</v>
      </c>
      <c r="C151" s="126">
        <v>0</v>
      </c>
      <c r="D151" s="125">
        <f>M151+O151+(K151*N151)+IF(OR(LEFT(A151)="G",LEFT(A151)="S"),Stats!$E$3-15+Bonuses!$BO$3,IF(OR(LEFT(A151)="Q",LEFT(A151)="R"),Bonuses!$BQ$3,Bonuses!$BP$3))</f>
        <v>10</v>
      </c>
      <c r="E151" s="125">
        <f t="shared" ref="E151:E186" si="14">D151*0.15</f>
        <v>1.5</v>
      </c>
      <c r="F151" s="125">
        <f t="shared" ref="F151:F163" si="15">D151*0.05</f>
        <v>0.5</v>
      </c>
      <c r="G151" s="256"/>
      <c r="H151" s="151" t="s">
        <v>240</v>
      </c>
      <c r="I151" s="94" t="s">
        <v>1013</v>
      </c>
      <c r="J151" s="394">
        <v>75</v>
      </c>
      <c r="K151" s="80">
        <f>IF(ISERROR(C151*1),-1,C151+IF(LEFT(A151)="T",Bonuses!$BR$3,IF(LEFT(A151)="G",Bonuses!$BS$3,IF(LEFT(A151)="Q",Bonuses!$BT$3,IF(LEFT(A151)="S",Bonuses!$BU$3,IF(LEFT(A151)="R",Bonuses!$BV$3,0))))))+P151</f>
        <v>0</v>
      </c>
      <c r="L151" s="80">
        <v>0</v>
      </c>
      <c r="M151" s="75">
        <f>Stats!$I$3*2</f>
        <v>10</v>
      </c>
      <c r="N151" s="75">
        <v>5</v>
      </c>
      <c r="O151" s="380"/>
      <c r="P151" s="380"/>
    </row>
    <row r="152" spans="1:18" x14ac:dyDescent="0.2">
      <c r="A152" s="95" t="s">
        <v>980</v>
      </c>
      <c r="B152" s="79" t="s">
        <v>981</v>
      </c>
      <c r="C152" s="126">
        <v>0</v>
      </c>
      <c r="D152" s="257"/>
      <c r="E152" s="257"/>
      <c r="F152" s="257"/>
      <c r="G152" s="84" t="str">
        <f>25+(25*K152)&amp;" Feet"</f>
        <v>25 Feet</v>
      </c>
      <c r="H152" s="151" t="s">
        <v>240</v>
      </c>
      <c r="J152" s="394">
        <v>75</v>
      </c>
      <c r="K152" s="80">
        <f>IF(ISERROR(C152*1),-1,C152+IF(LEFT(A152)="T",Bonuses!$BR$3,IF(LEFT(A152)="G",Bonuses!$BS$3,IF(LEFT(A152)="Q",Bonuses!$BT$3,IF(LEFT(A152)="S",Bonuses!$BU$3,IF(LEFT(A152)="R",Bonuses!$BV$3,0))))))+P152</f>
        <v>0</v>
      </c>
      <c r="L152" s="80">
        <v>0</v>
      </c>
      <c r="O152" s="380"/>
      <c r="P152" s="380"/>
      <c r="Q152" s="86"/>
    </row>
    <row r="153" spans="1:18" x14ac:dyDescent="0.2">
      <c r="A153" s="95" t="s">
        <v>241</v>
      </c>
      <c r="B153" s="79" t="s">
        <v>982</v>
      </c>
      <c r="C153" s="126">
        <v>0</v>
      </c>
      <c r="D153" s="125">
        <f>M153+O153+(K153*N153)+IF(OR(LEFT(A153)="G",LEFT(A153)="S"),Stats!$E$3-15+Bonuses!$BO$3,IF(OR(LEFT(A153)="Q",LEFT(A153)="R"),Bonuses!$BQ$3,Bonuses!$BP$3))</f>
        <v>15</v>
      </c>
      <c r="E153" s="125">
        <f t="shared" si="14"/>
        <v>2.25</v>
      </c>
      <c r="F153" s="125">
        <f t="shared" si="15"/>
        <v>0.75</v>
      </c>
      <c r="G153" s="84" t="str">
        <f>15+(15*K153)&amp;" Feet"</f>
        <v>15 Feet</v>
      </c>
      <c r="H153" s="85" t="str">
        <f>5*(1+K153)&amp;" Mins"</f>
        <v>5 Mins</v>
      </c>
      <c r="I153" s="94" t="str">
        <f>CONCATENATE("Pass Action to move Ear ",K153," TMR")</f>
        <v>Pass Action to move Ear 0 TMR</v>
      </c>
      <c r="J153" s="394">
        <v>200</v>
      </c>
      <c r="K153" s="80">
        <f>IF(ISERROR(C153*1),-1,C153+IF(LEFT(A153)="T",Bonuses!$BR$3,IF(LEFT(A153)="G",Bonuses!$BS$3,IF(LEFT(A153)="Q",Bonuses!$BT$3,IF(LEFT(A153)="S",Bonuses!$BU$3,IF(LEFT(A153)="R",Bonuses!$BV$3,0))))))+P153</f>
        <v>0</v>
      </c>
      <c r="L153" s="80">
        <v>1</v>
      </c>
      <c r="M153" s="75">
        <v>15</v>
      </c>
      <c r="N153" s="75">
        <v>3</v>
      </c>
      <c r="O153" s="380"/>
      <c r="P153" s="380"/>
      <c r="Q153" s="86">
        <f>MAX((MAX(Stats!$E$2,Ranking!$C$13)-15)*5,0)</f>
        <v>0</v>
      </c>
      <c r="R153" s="83">
        <v>300</v>
      </c>
    </row>
    <row r="154" spans="1:18" x14ac:dyDescent="0.2">
      <c r="A154" s="95" t="s">
        <v>242</v>
      </c>
      <c r="B154" s="79" t="s">
        <v>983</v>
      </c>
      <c r="C154" s="126">
        <v>0</v>
      </c>
      <c r="D154" s="125">
        <f>M154+O154+(K154*N154)+IF(OR(LEFT(A154)="G",LEFT(A154)="S"),Stats!$E$3-15+Bonuses!$BO$3,IF(OR(LEFT(A154)="Q",LEFT(A154)="R"),Bonuses!$BQ$3,Bonuses!$BP$3))</f>
        <v>25</v>
      </c>
      <c r="E154" s="125">
        <f t="shared" si="14"/>
        <v>3.75</v>
      </c>
      <c r="F154" s="125">
        <f t="shared" si="15"/>
        <v>1.25</v>
      </c>
      <c r="G154" s="80" t="s">
        <v>679</v>
      </c>
      <c r="H154" s="85" t="str">
        <f>10*(1+K154)&amp;" Mins"</f>
        <v>10 Mins</v>
      </c>
      <c r="I154" s="94" t="str">
        <f>CONCATENATE("Play Instrument at Rk ",CEILING(K154/3,1))</f>
        <v>Play Instrument at Rk 0</v>
      </c>
      <c r="J154" s="394">
        <v>100</v>
      </c>
      <c r="K154" s="80">
        <f>IF(ISERROR(C154*1),-1,C154+IF(LEFT(A154)="T",Bonuses!$BR$3,IF(LEFT(A154)="G",Bonuses!$BS$3,IF(LEFT(A154)="Q",Bonuses!$BT$3,IF(LEFT(A154)="S",Bonuses!$BU$3,IF(LEFT(A154)="R",Bonuses!$BV$3,0))))))+P154</f>
        <v>0</v>
      </c>
      <c r="L154" s="80">
        <v>1</v>
      </c>
      <c r="M154" s="75">
        <v>25</v>
      </c>
      <c r="N154" s="75">
        <v>3</v>
      </c>
      <c r="O154" s="380"/>
      <c r="P154" s="380"/>
      <c r="Q154" s="86">
        <f>MAX((MAX(Stats!$E$2,Ranking!$C$13)-15)*5,0)</f>
        <v>0</v>
      </c>
      <c r="R154" s="83">
        <v>300</v>
      </c>
    </row>
    <row r="155" spans="1:18" x14ac:dyDescent="0.2">
      <c r="A155" s="95" t="s">
        <v>243</v>
      </c>
      <c r="B155" s="79" t="s">
        <v>984</v>
      </c>
      <c r="C155" s="126">
        <v>0</v>
      </c>
      <c r="D155" s="125">
        <f>M155+O155+(K155*N155)+IF(OR(LEFT(A155)="G",LEFT(A155)="S"),Stats!$E$3-15+Bonuses!$BO$3,IF(OR(LEFT(A155)="Q",LEFT(A155)="R"),Bonuses!$BQ$3,Bonuses!$BP$3))</f>
        <v>35</v>
      </c>
      <c r="E155" s="125">
        <f t="shared" si="14"/>
        <v>5.25</v>
      </c>
      <c r="F155" s="125">
        <f t="shared" si="15"/>
        <v>1.75</v>
      </c>
      <c r="G155" s="84" t="str">
        <f>25+(25*K155)&amp;" Feet"</f>
        <v>25 Feet</v>
      </c>
      <c r="H155" s="85" t="s">
        <v>896</v>
      </c>
      <c r="I155" s="94" t="str">
        <f>CONCATENATE(1+TRUNC(K155/3)," Instruments, +",1+TRUNC(K155/5)," Rks.")</f>
        <v>1 Instruments, +1 Rks.</v>
      </c>
      <c r="J155" s="394">
        <v>100</v>
      </c>
      <c r="K155" s="80">
        <f>IF(ISERROR(C155*1),-1,C155+IF(LEFT(A155)="T",Bonuses!$BR$3,IF(LEFT(A155)="G",Bonuses!$BS$3,IF(LEFT(A155)="Q",Bonuses!$BT$3,IF(LEFT(A155)="S",Bonuses!$BU$3,IF(LEFT(A155)="R",Bonuses!$BV$3,0))))))+P155</f>
        <v>0</v>
      </c>
      <c r="L155" s="80">
        <v>1</v>
      </c>
      <c r="M155" s="75">
        <v>35</v>
      </c>
      <c r="N155" s="75">
        <v>3</v>
      </c>
      <c r="O155" s="380"/>
      <c r="P155" s="380"/>
      <c r="Q155" s="86">
        <f>MAX((MAX(Stats!$E$2,Ranking!$C$13)-15)*5,0)</f>
        <v>0</v>
      </c>
      <c r="R155" s="83">
        <v>300</v>
      </c>
    </row>
    <row r="156" spans="1:18" x14ac:dyDescent="0.2">
      <c r="A156" s="95" t="s">
        <v>245</v>
      </c>
      <c r="B156" s="79" t="s">
        <v>985</v>
      </c>
      <c r="C156" s="126">
        <v>0</v>
      </c>
      <c r="D156" s="125">
        <f>M156+O156+(K156*N156)+IF(OR(LEFT(A156)="G",LEFT(A156)="S"),Stats!$E$3-15+Bonuses!$BO$3,IF(OR(LEFT(A156)="Q",LEFT(A156)="R"),Bonuses!$BQ$3,Bonuses!$BP$3))</f>
        <v>15</v>
      </c>
      <c r="E156" s="125">
        <f t="shared" si="14"/>
        <v>2.25</v>
      </c>
      <c r="F156" s="125">
        <f t="shared" si="15"/>
        <v>0.75</v>
      </c>
      <c r="G156" s="84" t="str">
        <f>25+(25*K156)&amp;" Feet"</f>
        <v>25 Feet</v>
      </c>
      <c r="H156" s="85" t="str">
        <f>1*(1+K156)&amp;" Hours"</f>
        <v>1 Hours</v>
      </c>
      <c r="I156" s="94" t="str">
        <f>CONCATENATE("+/-",(K156+5),"% on Reaction Rolls")</f>
        <v>+/-5% on Reaction Rolls</v>
      </c>
      <c r="J156" s="394">
        <v>200</v>
      </c>
      <c r="K156" s="80">
        <f>IF(ISERROR(C156*1),-1,C156+IF(LEFT(A156)="T",Bonuses!$BR$3,IF(LEFT(A156)="G",Bonuses!$BS$3,IF(LEFT(A156)="Q",Bonuses!$BT$3,IF(LEFT(A156)="S",Bonuses!$BU$3,IF(LEFT(A156)="R",Bonuses!$BV$3,0))))))+P156</f>
        <v>0</v>
      </c>
      <c r="L156" s="80">
        <v>1</v>
      </c>
      <c r="M156" s="75">
        <v>15</v>
      </c>
      <c r="N156" s="75">
        <v>3</v>
      </c>
      <c r="O156" s="380"/>
      <c r="P156" s="380"/>
      <c r="Q156" s="86">
        <f>MAX((MAX(Stats!$E$2,Ranking!$C$13)-15)*5,0)</f>
        <v>0</v>
      </c>
      <c r="R156" s="83">
        <v>300</v>
      </c>
    </row>
    <row r="157" spans="1:18" x14ac:dyDescent="0.2">
      <c r="A157" s="95" t="s">
        <v>246</v>
      </c>
      <c r="B157" s="79" t="s">
        <v>986</v>
      </c>
      <c r="C157" s="126">
        <v>0</v>
      </c>
      <c r="D157" s="125">
        <f>M157+O157+(K157*N157)+IF(OR(LEFT(A157)="G",LEFT(A157)="S"),Stats!$E$3-15+Bonuses!$BO$3,IF(OR(LEFT(A157)="Q",LEFT(A157)="R"),Bonuses!$BQ$3,Bonuses!$BP$3))</f>
        <v>30</v>
      </c>
      <c r="E157" s="125">
        <f t="shared" si="14"/>
        <v>4.5</v>
      </c>
      <c r="F157" s="125">
        <f t="shared" si="15"/>
        <v>1.5</v>
      </c>
      <c r="G157" s="84" t="str">
        <f>1+(K157)&amp;" Feet"</f>
        <v>1 Feet</v>
      </c>
      <c r="H157" s="85" t="str">
        <f>1/2*(1+K157)&amp;" Hours"</f>
        <v>0.5 Hours</v>
      </c>
      <c r="I157" s="94" t="str">
        <f>CONCATENATE("+",(K157+5),"% on Stealth")</f>
        <v>+5% on Stealth</v>
      </c>
      <c r="J157" s="394">
        <v>100</v>
      </c>
      <c r="K157" s="80">
        <f>IF(ISERROR(C157*1),-1,C157+IF(LEFT(A157)="T",Bonuses!$BR$3,IF(LEFT(A157)="G",Bonuses!$BS$3,IF(LEFT(A157)="Q",Bonuses!$BT$3,IF(LEFT(A157)="S",Bonuses!$BU$3,IF(LEFT(A157)="R",Bonuses!$BV$3,0))))))+P157</f>
        <v>0</v>
      </c>
      <c r="L157" s="80">
        <v>1</v>
      </c>
      <c r="M157" s="75">
        <v>30</v>
      </c>
      <c r="N157" s="75">
        <v>3</v>
      </c>
      <c r="O157" s="380"/>
      <c r="P157" s="380"/>
      <c r="Q157" s="86">
        <f>MAX((MAX(Stats!$E$2,Ranking!$C$13)-15)*5,0)</f>
        <v>0</v>
      </c>
      <c r="R157" s="83">
        <v>300</v>
      </c>
    </row>
    <row r="158" spans="1:18" x14ac:dyDescent="0.2">
      <c r="A158" s="95" t="s">
        <v>247</v>
      </c>
      <c r="B158" s="79" t="s">
        <v>987</v>
      </c>
      <c r="C158" s="126">
        <v>0</v>
      </c>
      <c r="D158" s="125">
        <f>M158+O158+(K158*N158)+IF(OR(LEFT(A158)="G",LEFT(A158)="S"),Stats!$E$3-15+Bonuses!$BO$3,IF(OR(LEFT(A158)="Q",LEFT(A158)="R"),Bonuses!$BQ$3,Bonuses!$BP$3))</f>
        <v>20</v>
      </c>
      <c r="E158" s="125">
        <f t="shared" si="14"/>
        <v>3</v>
      </c>
      <c r="F158" s="125">
        <f t="shared" si="15"/>
        <v>1</v>
      </c>
      <c r="G158" s="84" t="str">
        <f>15+(15*K158)&amp;" Feet"</f>
        <v>15 Feet</v>
      </c>
      <c r="H158" s="85" t="str">
        <f>10*(1+K158)&amp;" Secs"</f>
        <v>10 Secs</v>
      </c>
      <c r="J158" s="394">
        <v>200</v>
      </c>
      <c r="K158" s="80">
        <f>IF(ISERROR(C158*1),-1,C158+IF(LEFT(A158)="T",Bonuses!$BR$3,IF(LEFT(A158)="G",Bonuses!$BS$3,IF(LEFT(A158)="Q",Bonuses!$BT$3,IF(LEFT(A158)="S",Bonuses!$BU$3,IF(LEFT(A158)="R",Bonuses!$BV$3,0))))))+P158</f>
        <v>0</v>
      </c>
      <c r="L158" s="80">
        <v>1</v>
      </c>
      <c r="M158" s="75">
        <v>20</v>
      </c>
      <c r="N158" s="75">
        <v>3</v>
      </c>
      <c r="O158" s="380"/>
      <c r="P158" s="380"/>
      <c r="Q158" s="86">
        <f>MAX((MAX(Stats!$E$2,Ranking!$C$13)-15)*5,0)</f>
        <v>0</v>
      </c>
      <c r="R158" s="83">
        <v>300</v>
      </c>
    </row>
    <row r="159" spans="1:18" x14ac:dyDescent="0.2">
      <c r="A159" s="95" t="s">
        <v>248</v>
      </c>
      <c r="B159" s="79" t="s">
        <v>988</v>
      </c>
      <c r="C159" s="126">
        <v>0</v>
      </c>
      <c r="D159" s="125">
        <f>M159+O159+(K159*N159)+IF(OR(LEFT(A159)="G",LEFT(A159)="S"),Stats!$E$3-15+Bonuses!$BO$3,IF(OR(LEFT(A159)="Q",LEFT(A159)="R"),Bonuses!$BQ$3,Bonuses!$BP$3))</f>
        <v>25</v>
      </c>
      <c r="E159" s="125">
        <f t="shared" si="14"/>
        <v>3.75</v>
      </c>
      <c r="F159" s="125">
        <f t="shared" si="15"/>
        <v>1.25</v>
      </c>
      <c r="G159" s="84" t="str">
        <f>5+(5*K159)&amp;" Feet"</f>
        <v>5 Feet</v>
      </c>
      <c r="H159" s="151" t="s">
        <v>240</v>
      </c>
      <c r="I159" s="94" t="str">
        <f>CONCATENATE("Object &lt;",(K159+1)/2," lbs")</f>
        <v>Object &lt;0.5 lbs</v>
      </c>
      <c r="J159" s="394">
        <v>200</v>
      </c>
      <c r="K159" s="80">
        <f>IF(ISERROR(C159*1),-1,C159+IF(LEFT(A159)="T",Bonuses!$BR$3,IF(LEFT(A159)="G",Bonuses!$BS$3,IF(LEFT(A159)="Q",Bonuses!$BT$3,IF(LEFT(A159)="S",Bonuses!$BU$3,IF(LEFT(A159)="R",Bonuses!$BV$3,0))))))+P159</f>
        <v>0</v>
      </c>
      <c r="L159" s="80">
        <v>1</v>
      </c>
      <c r="M159" s="75">
        <v>25</v>
      </c>
      <c r="N159" s="75">
        <v>3</v>
      </c>
      <c r="O159" s="380"/>
      <c r="P159" s="380"/>
      <c r="Q159" s="86">
        <f>MAX((MAX(Stats!$E$2,Ranking!$C$13)-15)*5,0)</f>
        <v>0</v>
      </c>
      <c r="R159" s="83">
        <v>300</v>
      </c>
    </row>
    <row r="160" spans="1:18" x14ac:dyDescent="0.2">
      <c r="A160" s="95" t="s">
        <v>249</v>
      </c>
      <c r="B160" s="79" t="s">
        <v>989</v>
      </c>
      <c r="C160" s="126">
        <v>0</v>
      </c>
      <c r="D160" s="125">
        <f>M160+O160+(K160*N160)+IF(OR(LEFT(A160)="G",LEFT(A160)="S"),Stats!$E$3-15+Bonuses!$BO$3,IF(OR(LEFT(A160)="Q",LEFT(A160)="R"),Bonuses!$BQ$3,Bonuses!$BP$3))</f>
        <v>35</v>
      </c>
      <c r="E160" s="125">
        <f t="shared" si="14"/>
        <v>5.25</v>
      </c>
      <c r="F160" s="125">
        <f t="shared" si="15"/>
        <v>1.75</v>
      </c>
      <c r="G160" s="80" t="s">
        <v>679</v>
      </c>
      <c r="H160" s="85" t="str">
        <f>10*(1+K160)&amp;" Mins"</f>
        <v>10 Mins</v>
      </c>
      <c r="I160" s="94" t="str">
        <f>CONCATENATE("+/-",(K160+1),"% on Fright/Awe within ",(K160+1)*5," Feet")</f>
        <v>+/-1% on Fright/Awe within 5 Feet</v>
      </c>
      <c r="J160" s="394">
        <v>100</v>
      </c>
      <c r="K160" s="80">
        <f>IF(ISERROR(C160*1),-1,C160+IF(LEFT(A160)="T",Bonuses!$BR$3,IF(LEFT(A160)="G",Bonuses!$BS$3,IF(LEFT(A160)="Q",Bonuses!$BT$3,IF(LEFT(A160)="S",Bonuses!$BU$3,IF(LEFT(A160)="R",Bonuses!$BV$3,0))))))+P160</f>
        <v>0</v>
      </c>
      <c r="L160" s="80">
        <v>1</v>
      </c>
      <c r="M160" s="75">
        <v>35</v>
      </c>
      <c r="N160" s="75">
        <v>3</v>
      </c>
      <c r="O160" s="380"/>
      <c r="P160" s="380"/>
      <c r="Q160" s="86">
        <f>MAX((MAX(Stats!$E$2,Ranking!$C$13)-15)*5,0)</f>
        <v>0</v>
      </c>
      <c r="R160" s="83">
        <v>300</v>
      </c>
    </row>
    <row r="161" spans="1:18" x14ac:dyDescent="0.2">
      <c r="A161" s="95" t="s">
        <v>250</v>
      </c>
      <c r="B161" s="79" t="s">
        <v>990</v>
      </c>
      <c r="C161" s="126">
        <v>0</v>
      </c>
      <c r="D161" s="125">
        <f>M161+O161+(K161*N161)+IF(OR(LEFT(A161)="G",LEFT(A161)="S"),Stats!$E$3-15+Bonuses!$BO$3,IF(OR(LEFT(A161)="Q",LEFT(A161)="R"),Bonuses!$BQ$3,Bonuses!$BP$3))</f>
        <v>25</v>
      </c>
      <c r="E161" s="125">
        <f t="shared" si="14"/>
        <v>3.75</v>
      </c>
      <c r="F161" s="125">
        <f t="shared" si="15"/>
        <v>1.25</v>
      </c>
      <c r="G161" s="84" t="str">
        <f>5+(5*K161)&amp;" Feet"</f>
        <v>5 Feet</v>
      </c>
      <c r="H161" s="151" t="s">
        <v>896</v>
      </c>
      <c r="I161" s="94" t="str">
        <f>CONCATENATE("+",(K161+5)*2,"% Reactions of Animals in range.")</f>
        <v>+10% Reactions of Animals in range.</v>
      </c>
      <c r="J161" s="394">
        <v>200</v>
      </c>
      <c r="K161" s="80">
        <f>IF(ISERROR(C161*1),-1,C161+IF(LEFT(A161)="T",Bonuses!$BR$3,IF(LEFT(A161)="G",Bonuses!$BS$3,IF(LEFT(A161)="Q",Bonuses!$BT$3,IF(LEFT(A161)="S",Bonuses!$BU$3,IF(LEFT(A161)="R",Bonuses!$BV$3,0))))))+P161</f>
        <v>0</v>
      </c>
      <c r="L161" s="80">
        <v>1</v>
      </c>
      <c r="M161" s="75">
        <v>25</v>
      </c>
      <c r="N161" s="75">
        <v>3</v>
      </c>
      <c r="O161" s="380"/>
      <c r="P161" s="380"/>
      <c r="Q161" s="86">
        <f>MAX((MAX(Stats!$E$2,Ranking!$C$13)-15)*5,0)</f>
        <v>0</v>
      </c>
      <c r="R161" s="83">
        <v>300</v>
      </c>
    </row>
    <row r="162" spans="1:18" x14ac:dyDescent="0.2">
      <c r="A162" s="95" t="s">
        <v>794</v>
      </c>
      <c r="B162" s="79" t="s">
        <v>991</v>
      </c>
      <c r="C162" s="126">
        <v>0</v>
      </c>
      <c r="D162" s="125">
        <f>M162+O162+(K162*N162)+IF(OR(LEFT(A162)="G",LEFT(A162)="S"),Stats!$E$3-15+Bonuses!$BO$3,IF(OR(LEFT(A162)="Q",LEFT(A162)="R"),Bonuses!$BQ$3,Bonuses!$BP$3))</f>
        <v>35</v>
      </c>
      <c r="E162" s="125">
        <f t="shared" si="14"/>
        <v>5.25</v>
      </c>
      <c r="F162" s="125">
        <f t="shared" si="15"/>
        <v>1.75</v>
      </c>
      <c r="G162" s="84" t="str">
        <f>15+(15*K162)&amp;" Feet"</f>
        <v>15 Feet</v>
      </c>
      <c r="H162" s="85" t="str">
        <f>10*(1+K162)&amp;" Mins"</f>
        <v>10 Mins</v>
      </c>
      <c r="I162" s="94" t="str">
        <f>CONCATENATE("Animal Speak at Rk ",ROUND(K162/5,0)+1)</f>
        <v>Animal Speak at Rk 1</v>
      </c>
      <c r="J162" s="394">
        <v>200</v>
      </c>
      <c r="K162" s="80">
        <f>IF(ISERROR(C162*1),-1,C162+IF(LEFT(A162)="T",Bonuses!$BR$3,IF(LEFT(A162)="G",Bonuses!$BS$3,IF(LEFT(A162)="Q",Bonuses!$BT$3,IF(LEFT(A162)="S",Bonuses!$BU$3,IF(LEFT(A162)="R",Bonuses!$BV$3,0))))))+P162</f>
        <v>0</v>
      </c>
      <c r="L162" s="80">
        <v>1</v>
      </c>
      <c r="M162" s="75">
        <v>35</v>
      </c>
      <c r="N162" s="75">
        <v>3</v>
      </c>
      <c r="O162" s="380"/>
      <c r="P162" s="380"/>
      <c r="Q162" s="86">
        <f>MAX((MAX(Stats!$E$2,Ranking!$C$13)-15)*5,0)</f>
        <v>0</v>
      </c>
      <c r="R162" s="83">
        <v>300</v>
      </c>
    </row>
    <row r="163" spans="1:18" x14ac:dyDescent="0.2">
      <c r="A163" s="95" t="s">
        <v>796</v>
      </c>
      <c r="B163" s="79" t="s">
        <v>304</v>
      </c>
      <c r="C163" s="126">
        <v>0</v>
      </c>
      <c r="D163" s="125">
        <f>M163+O163+(K163*N163)+IF(OR(LEFT(A163)="G",LEFT(A163)="S"),Stats!$E$3-15+Bonuses!$BO$3,IF(OR(LEFT(A163)="Q",LEFT(A163)="R"),Bonuses!$BQ$3,Bonuses!$BP$3))</f>
        <v>40</v>
      </c>
      <c r="E163" s="125">
        <f t="shared" si="14"/>
        <v>6</v>
      </c>
      <c r="F163" s="125">
        <f t="shared" si="15"/>
        <v>2</v>
      </c>
      <c r="G163" s="84" t="str">
        <f>10+(10*K163)&amp;" Feet"</f>
        <v>10 Feet</v>
      </c>
      <c r="H163" s="85" t="str">
        <f>5*(1+K163)&amp;" Mins"</f>
        <v>5 Mins</v>
      </c>
      <c r="I163" s="94" t="str">
        <f>CONCATENATE("Project ",TRUNC(K163/5)+1," Voices")</f>
        <v>Project 1 Voices</v>
      </c>
      <c r="J163" s="394">
        <v>150</v>
      </c>
      <c r="K163" s="80">
        <f>IF(ISERROR(C163*1),-1,C163+IF(LEFT(A163)="T",Bonuses!$BR$3,IF(LEFT(A163)="G",Bonuses!$BS$3,IF(LEFT(A163)="Q",Bonuses!$BT$3,IF(LEFT(A163)="S",Bonuses!$BU$3,IF(LEFT(A163)="R",Bonuses!$BV$3,0))))))+P163</f>
        <v>0</v>
      </c>
      <c r="L163" s="80">
        <v>1</v>
      </c>
      <c r="M163" s="75">
        <v>40</v>
      </c>
      <c r="N163" s="75">
        <v>3</v>
      </c>
      <c r="O163" s="380"/>
      <c r="P163" s="380"/>
      <c r="Q163" s="86">
        <f>MAX((MAX(Stats!$E$2,Ranking!$C$13)-15)*5,0)</f>
        <v>0</v>
      </c>
      <c r="R163" s="83">
        <v>300</v>
      </c>
    </row>
    <row r="164" spans="1:18" x14ac:dyDescent="0.2">
      <c r="A164" s="96" t="s">
        <v>268</v>
      </c>
      <c r="B164" s="79" t="s">
        <v>795</v>
      </c>
      <c r="C164" s="126">
        <v>0</v>
      </c>
      <c r="D164" s="125">
        <f>M164+O164+(K164*N164)+IF(OR(LEFT(A164)="G",LEFT(A164)="S"),Stats!$E$3-15+Bonuses!$BO$3,IF(OR(LEFT(A164)="Q",LEFT(A164)="R"),Bonuses!$BQ$3,Bonuses!$BP$3))</f>
        <v>40</v>
      </c>
      <c r="E164" s="125">
        <f>D164*0.15</f>
        <v>6</v>
      </c>
      <c r="F164" s="125">
        <f>D164*0.05</f>
        <v>2</v>
      </c>
      <c r="G164" s="84" t="str">
        <f>25+(25*K164)&amp;" Feet"</f>
        <v>25 Feet</v>
      </c>
      <c r="H164" s="88" t="str">
        <f>"D+"&amp;5+K164&amp;" Mins"</f>
        <v>D+5 Mins</v>
      </c>
      <c r="I164" s="94" t="str">
        <f>CONCATENATE("+",30 + (K164*3)," to MR vs Generals")</f>
        <v>+30 to MR vs Generals</v>
      </c>
      <c r="J164" s="394">
        <v>100</v>
      </c>
      <c r="K164" s="80">
        <f>IF(ISERROR(C164*1),-1,C164+IF(LEFT(A164)="T",Bonuses!$BR$3,IF(LEFT(A164)="G",Bonuses!$BS$3,IF(LEFT(A164)="Q",Bonuses!$BT$3,IF(LEFT(A164)="S",Bonuses!$BU$3,IF(LEFT(A164)="R",Bonuses!$BV$3,0))))))+P164</f>
        <v>0</v>
      </c>
      <c r="L164" s="80">
        <v>1</v>
      </c>
      <c r="M164" s="75">
        <v>40</v>
      </c>
      <c r="N164" s="75">
        <v>3</v>
      </c>
      <c r="O164" s="380"/>
      <c r="P164" s="380"/>
      <c r="Q164" s="86">
        <f>MAX((MAX(Stats!$E$2,Ranking!$C$13)-15)*5,0)</f>
        <v>0</v>
      </c>
      <c r="R164" s="83">
        <v>300</v>
      </c>
    </row>
    <row r="165" spans="1:18" x14ac:dyDescent="0.2">
      <c r="A165" s="96" t="s">
        <v>268</v>
      </c>
      <c r="B165" s="79" t="s">
        <v>797</v>
      </c>
      <c r="C165" s="126">
        <v>0</v>
      </c>
      <c r="D165" s="125">
        <f>M165+O165+(K165*N165)+IF(OR(LEFT(A165)="G",LEFT(A165)="S"),Stats!$E$3-15+Bonuses!$BO$3,IF(OR(LEFT(A165)="Q",LEFT(A165)="R"),Bonuses!$BQ$3,Bonuses!$BP$3))</f>
        <v>40</v>
      </c>
      <c r="E165" s="125">
        <f t="shared" si="14"/>
        <v>6</v>
      </c>
      <c r="F165" s="125">
        <f t="shared" ref="F165:F186" si="16">D165*0.05</f>
        <v>2</v>
      </c>
      <c r="G165" s="84" t="str">
        <f>25+(25*K165)&amp;" Feet"</f>
        <v>25 Feet</v>
      </c>
      <c r="H165" s="88" t="str">
        <f>"D+"&amp;5+K165&amp;" Mins"</f>
        <v>D+5 Mins</v>
      </c>
      <c r="I165" s="94" t="str">
        <f>CONCATENATE("+",30 + (K165*3)," to MR vs Specials")</f>
        <v>+30 to MR vs Specials</v>
      </c>
      <c r="J165" s="394">
        <v>200</v>
      </c>
      <c r="K165" s="80">
        <f>IF(ISERROR(C165*1),-1,C165+IF(LEFT(A165)="T",Bonuses!$BR$3,IF(LEFT(A165)="G",Bonuses!$BS$3,IF(LEFT(A165)="Q",Bonuses!$BT$3,IF(LEFT(A165)="S",Bonuses!$BU$3,IF(LEFT(A165)="R",Bonuses!$BV$3,0))))))+P165</f>
        <v>0</v>
      </c>
      <c r="L165" s="80">
        <v>1</v>
      </c>
      <c r="M165" s="75">
        <v>40</v>
      </c>
      <c r="N165" s="75">
        <v>3</v>
      </c>
      <c r="O165" s="380"/>
      <c r="P165" s="380"/>
      <c r="Q165" s="86">
        <f>MAX((MAX(Stats!$E$2,Ranking!$C$13)-15)*5,0)</f>
        <v>0</v>
      </c>
      <c r="R165" s="83">
        <v>300</v>
      </c>
    </row>
    <row r="166" spans="1:18" x14ac:dyDescent="0.2">
      <c r="A166" s="95" t="s">
        <v>251</v>
      </c>
      <c r="B166" s="79" t="s">
        <v>992</v>
      </c>
      <c r="C166" s="126">
        <v>0</v>
      </c>
      <c r="D166" s="125">
        <f>M166+O166+(K166*N166)+IF(OR(LEFT(A166)="G",LEFT(A166)="S"),Stats!$E$3-15+Bonuses!$BO$3,IF(OR(LEFT(A166)="Q",LEFT(A166)="R"),Bonuses!$BQ$3,Bonuses!$BP$3))</f>
        <v>20</v>
      </c>
      <c r="E166" s="125">
        <f t="shared" si="14"/>
        <v>3</v>
      </c>
      <c r="F166" s="125">
        <f t="shared" si="16"/>
        <v>1</v>
      </c>
      <c r="G166" s="84" t="str">
        <f>10+(10*K166)&amp;" Feet"</f>
        <v>10 Feet</v>
      </c>
      <c r="I166" s="94" t="str">
        <f>CONCATENATE("Ward ",10+K166*10," sec of sounds. ",1+K166," Activations. ")</f>
        <v xml:space="preserve">Ward 10 sec of sounds. 1 Activations. </v>
      </c>
      <c r="J166" s="394">
        <v>250</v>
      </c>
      <c r="K166" s="80">
        <f>IF(ISERROR(C166*1),-1,C166+IF(LEFT(A166)="T",Bonuses!$BR$3,IF(LEFT(A166)="G",Bonuses!$BS$3,IF(LEFT(A166)="Q",Bonuses!$BT$3,IF(LEFT(A166)="S",Bonuses!$BU$3,IF(LEFT(A166)="R",Bonuses!$BV$3,0))))))+P166</f>
        <v>0</v>
      </c>
      <c r="L166" s="80">
        <v>7</v>
      </c>
      <c r="M166" s="75">
        <v>20</v>
      </c>
      <c r="N166" s="75">
        <v>4</v>
      </c>
      <c r="O166" s="380"/>
      <c r="P166" s="380"/>
      <c r="Q166" s="86">
        <f>MAX((MAX(Stats!$E$2,Ranking!$C$13)-15)*5,0)</f>
        <v>0</v>
      </c>
      <c r="R166" s="83">
        <v>300</v>
      </c>
    </row>
    <row r="167" spans="1:18" x14ac:dyDescent="0.2">
      <c r="A167" s="95" t="s">
        <v>298</v>
      </c>
      <c r="B167" s="79" t="s">
        <v>993</v>
      </c>
      <c r="C167" s="126">
        <v>0</v>
      </c>
      <c r="D167" s="125">
        <f>M167+O167+(K167*N167)+IF(OR(LEFT(A167)="G",LEFT(A167)="S"),Stats!$E$3-15+Bonuses!$BO$3,IF(OR(LEFT(A167)="Q",LEFT(A167)="R"),Bonuses!$BQ$3,Bonuses!$BP$3))</f>
        <v>25</v>
      </c>
      <c r="E167" s="125">
        <f t="shared" si="14"/>
        <v>3.75</v>
      </c>
      <c r="F167" s="125">
        <f t="shared" si="16"/>
        <v>1.25</v>
      </c>
      <c r="I167" s="94" t="str">
        <f>CONCATENATE(3+ROUND(K167/3,0)," Questions. ")</f>
        <v xml:space="preserve">3 Questions. </v>
      </c>
      <c r="J167" s="394">
        <v>200</v>
      </c>
      <c r="K167" s="80">
        <f>IF(ISERROR(C167*1),-1,C167+IF(LEFT(A167)="T",Bonuses!$BR$3,IF(LEFT(A167)="G",Bonuses!$BS$3,IF(LEFT(A167)="Q",Bonuses!$BT$3,IF(LEFT(A167)="S",Bonuses!$BU$3,IF(LEFT(A167)="R",Bonuses!$BV$3,0))))))+P167</f>
        <v>0</v>
      </c>
      <c r="L167" s="80">
        <v>7</v>
      </c>
      <c r="M167" s="75">
        <v>25</v>
      </c>
      <c r="N167" s="75">
        <v>4</v>
      </c>
      <c r="O167" s="380"/>
      <c r="P167" s="380"/>
      <c r="Q167" s="86">
        <f>MAX((MAX(Stats!$E$2,Ranking!$C$13)-15)*5,0)</f>
        <v>0</v>
      </c>
      <c r="R167" s="83">
        <v>300</v>
      </c>
    </row>
    <row r="168" spans="1:18" x14ac:dyDescent="0.2">
      <c r="A168" s="95" t="s">
        <v>267</v>
      </c>
      <c r="B168" s="79" t="s">
        <v>252</v>
      </c>
      <c r="C168" s="126">
        <v>0</v>
      </c>
      <c r="D168" s="125">
        <f>M168+O168+(K168*N168)+IF(OR(LEFT(A168)="G",LEFT(A168)="S"),Stats!$E$3-15+Bonuses!$BO$3,IF(OR(LEFT(A168)="Q",LEFT(A168)="R"),Bonuses!$BQ$3,Bonuses!$BP$3))</f>
        <v>30</v>
      </c>
      <c r="E168" s="125">
        <f t="shared" si="14"/>
        <v>4.5</v>
      </c>
      <c r="F168" s="125">
        <f t="shared" si="16"/>
        <v>1.5</v>
      </c>
      <c r="G168" s="81"/>
      <c r="H168" s="88" t="str">
        <f>4+(4*K168)&amp;" Hours"</f>
        <v>4 Hours</v>
      </c>
      <c r="I168" s="90" t="str">
        <f>CONCATENATE("+ ",K168," MR. +",TRUNC(K168/5)," MA.")</f>
        <v>+ 0 MR. +0 MA.</v>
      </c>
      <c r="J168" s="394">
        <v>200</v>
      </c>
      <c r="K168" s="80">
        <f>IF(ISERROR(C168*1),-1,C168+IF(LEFT(A168)="T",Bonuses!$BR$3,IF(LEFT(A168)="G",Bonuses!$BS$3,IF(LEFT(A168)="Q",Bonuses!$BT$3,IF(LEFT(A168)="S",Bonuses!$BU$3,IF(LEFT(A168)="R",Bonuses!$BV$3,0))))))+P168</f>
        <v>0</v>
      </c>
      <c r="L168" s="80">
        <v>7</v>
      </c>
      <c r="M168" s="75">
        <f>Stats!$E$3+Stats!$F$3</f>
        <v>30</v>
      </c>
      <c r="N168" s="75">
        <v>3</v>
      </c>
      <c r="O168" s="380"/>
      <c r="P168" s="380"/>
      <c r="Q168" s="86">
        <f>MAX((MAX(Stats!$E$2,Ranking!$C$13)-15)*5,0)</f>
        <v>0</v>
      </c>
      <c r="R168" s="83">
        <v>300</v>
      </c>
    </row>
    <row r="169" spans="1:18" x14ac:dyDescent="0.2">
      <c r="A169" s="95" t="s">
        <v>253</v>
      </c>
      <c r="B169" s="79" t="s">
        <v>288</v>
      </c>
      <c r="C169" s="126" t="s">
        <v>283</v>
      </c>
      <c r="D169" s="125">
        <f>M169+O169+(K169*N169)+IF(OR(LEFT(A169)="G",LEFT(A169)="S"),Stats!$E$3-15+Bonuses!$BO$3,IF(OR(LEFT(A169)="Q",LEFT(A169)="R"),Bonuses!$BQ$3,Bonuses!$BP$3))</f>
        <v>22</v>
      </c>
      <c r="E169" s="125">
        <f t="shared" si="14"/>
        <v>3.3</v>
      </c>
      <c r="F169" s="125">
        <f t="shared" si="16"/>
        <v>1.1000000000000001</v>
      </c>
      <c r="G169" s="84" t="str">
        <f>50+(5*K169)&amp;" Feet"</f>
        <v>45 Feet</v>
      </c>
      <c r="H169" s="85" t="str">
        <f>1+K169&amp;" Hours"</f>
        <v>0 Hours</v>
      </c>
      <c r="J169" s="394">
        <v>400</v>
      </c>
      <c r="K169" s="80">
        <f>IF(ISERROR(C169*1),-1,C169+IF(LEFT(A169)="T",Bonuses!$BR$3,IF(LEFT(A169)="G",Bonuses!$BS$3,IF(LEFT(A169)="Q",Bonuses!$BT$3,IF(LEFT(A169)="S",Bonuses!$BU$3,IF(LEFT(A169)="R",Bonuses!$BV$3,0))))))+P169</f>
        <v>-1</v>
      </c>
      <c r="L169" s="80">
        <v>1</v>
      </c>
      <c r="M169" s="75">
        <v>25</v>
      </c>
      <c r="N169" s="75">
        <v>3</v>
      </c>
      <c r="O169" s="380"/>
      <c r="P169" s="380"/>
      <c r="R169" s="83">
        <v>6000</v>
      </c>
    </row>
    <row r="170" spans="1:18" x14ac:dyDescent="0.2">
      <c r="A170" s="95" t="s">
        <v>254</v>
      </c>
      <c r="B170" s="79" t="s">
        <v>995</v>
      </c>
      <c r="C170" s="126" t="s">
        <v>283</v>
      </c>
      <c r="D170" s="125">
        <f>M170+O170+(K170*N170)+IF(OR(LEFT(A170)="G",LEFT(A170)="S"),Stats!$E$3-15+Bonuses!$BO$3,IF(OR(LEFT(A170)="Q",LEFT(A170)="R"),Bonuses!$BQ$3,Bonuses!$BP$3))</f>
        <v>22</v>
      </c>
      <c r="E170" s="125">
        <f t="shared" si="14"/>
        <v>3.3</v>
      </c>
      <c r="F170" s="125">
        <f t="shared" si="16"/>
        <v>1.1000000000000001</v>
      </c>
      <c r="G170" s="80" t="s">
        <v>679</v>
      </c>
      <c r="H170" s="85" t="str">
        <f>1+(K170)&amp;" Mins"</f>
        <v>0 Mins</v>
      </c>
      <c r="J170" s="394">
        <v>200</v>
      </c>
      <c r="K170" s="80">
        <f>IF(ISERROR(C170*1),-1,C170+IF(LEFT(A170)="T",Bonuses!$BR$3,IF(LEFT(A170)="G",Bonuses!$BS$3,IF(LEFT(A170)="Q",Bonuses!$BT$3,IF(LEFT(A170)="S",Bonuses!$BU$3,IF(LEFT(A170)="R",Bonuses!$BV$3,0))))))+P170</f>
        <v>-1</v>
      </c>
      <c r="L170" s="80">
        <v>1</v>
      </c>
      <c r="M170" s="75">
        <v>25</v>
      </c>
      <c r="N170" s="75">
        <v>3</v>
      </c>
      <c r="O170" s="380"/>
      <c r="P170" s="380"/>
      <c r="R170" s="83">
        <v>1000</v>
      </c>
    </row>
    <row r="171" spans="1:18" x14ac:dyDescent="0.2">
      <c r="A171" s="95" t="s">
        <v>255</v>
      </c>
      <c r="B171" s="79" t="s">
        <v>996</v>
      </c>
      <c r="C171" s="126" t="s">
        <v>283</v>
      </c>
      <c r="D171" s="125">
        <f>M171+O171+(K171*N171)+IF(OR(LEFT(A171)="G",LEFT(A171)="S"),Stats!$E$3-15+Bonuses!$BO$3,IF(OR(LEFT(A171)="Q",LEFT(A171)="R"),Bonuses!$BQ$3,Bonuses!$BP$3))</f>
        <v>12</v>
      </c>
      <c r="E171" s="125">
        <f t="shared" si="14"/>
        <v>1.7999999999999998</v>
      </c>
      <c r="F171" s="125">
        <f t="shared" si="16"/>
        <v>0.60000000000000009</v>
      </c>
      <c r="G171" s="80" t="s">
        <v>616</v>
      </c>
      <c r="H171" s="85" t="str">
        <f>10+(10*K171)&amp;" Mins"</f>
        <v>0 Mins</v>
      </c>
      <c r="J171" s="394">
        <v>300</v>
      </c>
      <c r="K171" s="80">
        <f>IF(ISERROR(C171*1),-1,C171+IF(LEFT(A171)="T",Bonuses!$BR$3,IF(LEFT(A171)="G",Bonuses!$BS$3,IF(LEFT(A171)="Q",Bonuses!$BT$3,IF(LEFT(A171)="S",Bonuses!$BU$3,IF(LEFT(A171)="R",Bonuses!$BV$3,0))))))+P171</f>
        <v>-1</v>
      </c>
      <c r="L171" s="80">
        <v>1</v>
      </c>
      <c r="M171" s="75">
        <v>15</v>
      </c>
      <c r="N171" s="75">
        <v>3</v>
      </c>
      <c r="O171" s="380"/>
      <c r="P171" s="380"/>
      <c r="R171" s="83">
        <v>10000</v>
      </c>
    </row>
    <row r="172" spans="1:18" x14ac:dyDescent="0.2">
      <c r="A172" s="95" t="s">
        <v>256</v>
      </c>
      <c r="B172" s="79" t="s">
        <v>997</v>
      </c>
      <c r="C172" s="126" t="s">
        <v>283</v>
      </c>
      <c r="D172" s="125">
        <f>M172+O172+(K172*N172)+IF(OR(LEFT(A172)="G",LEFT(A172)="S"),Stats!$E$3-15+Bonuses!$BO$3,IF(OR(LEFT(A172)="Q",LEFT(A172)="R"),Bonuses!$BQ$3,Bonuses!$BP$3))</f>
        <v>7</v>
      </c>
      <c r="E172" s="125">
        <f t="shared" si="14"/>
        <v>1.05</v>
      </c>
      <c r="F172" s="125">
        <f t="shared" si="16"/>
        <v>0.35000000000000003</v>
      </c>
      <c r="G172" s="84" t="str">
        <f>15+(15*K172)&amp;" Feet"</f>
        <v>0 Feet</v>
      </c>
      <c r="H172" s="85" t="str">
        <f>10+(10*K172)&amp;" Secs"</f>
        <v>0 Secs</v>
      </c>
      <c r="J172" s="394">
        <v>350</v>
      </c>
      <c r="K172" s="80">
        <f>IF(ISERROR(C172*1),-1,C172+IF(LEFT(A172)="T",Bonuses!$BR$3,IF(LEFT(A172)="G",Bonuses!$BS$3,IF(LEFT(A172)="Q",Bonuses!$BT$3,IF(LEFT(A172)="S",Bonuses!$BU$3,IF(LEFT(A172)="R",Bonuses!$BV$3,0))))))+P172</f>
        <v>-1</v>
      </c>
      <c r="L172" s="80">
        <v>1</v>
      </c>
      <c r="M172" s="75">
        <v>10</v>
      </c>
      <c r="N172" s="75">
        <v>3</v>
      </c>
      <c r="O172" s="380"/>
      <c r="P172" s="380"/>
      <c r="R172" s="83">
        <v>10000</v>
      </c>
    </row>
    <row r="173" spans="1:18" x14ac:dyDescent="0.2">
      <c r="A173" s="95" t="s">
        <v>257</v>
      </c>
      <c r="B173" s="79" t="s">
        <v>998</v>
      </c>
      <c r="C173" s="126" t="s">
        <v>283</v>
      </c>
      <c r="D173" s="125">
        <f>M173+O173+(K173*N173)+IF(OR(LEFT(A173)="G",LEFT(A173)="S"),Stats!$E$3-15+Bonuses!$BO$3,IF(OR(LEFT(A173)="Q",LEFT(A173)="R"),Bonuses!$BQ$3,Bonuses!$BP$3))</f>
        <v>12</v>
      </c>
      <c r="E173" s="125">
        <f t="shared" si="14"/>
        <v>1.7999999999999998</v>
      </c>
      <c r="F173" s="125">
        <f t="shared" si="16"/>
        <v>0.60000000000000009</v>
      </c>
      <c r="G173" s="84" t="str">
        <f>5+(5*K173)&amp;" Feet"</f>
        <v>0 Feet</v>
      </c>
      <c r="H173" s="85" t="str">
        <f>1/2*(1+K173)&amp;" Hours"</f>
        <v>0 Hours</v>
      </c>
      <c r="I173" s="94" t="str">
        <f>(K173+1)*2&amp;"% Def"</f>
        <v>0% Def</v>
      </c>
      <c r="J173" s="394">
        <v>250</v>
      </c>
      <c r="K173" s="80">
        <f>IF(ISERROR(C173*1),-1,C173+IF(LEFT(A173)="T",Bonuses!$BR$3,IF(LEFT(A173)="G",Bonuses!$BS$3,IF(LEFT(A173)="Q",Bonuses!$BT$3,IF(LEFT(A173)="S",Bonuses!$BU$3,IF(LEFT(A173)="R",Bonuses!$BV$3,0))))))+P173</f>
        <v>-1</v>
      </c>
      <c r="L173" s="80">
        <v>1</v>
      </c>
      <c r="M173" s="75">
        <v>15</v>
      </c>
      <c r="N173" s="75">
        <v>3</v>
      </c>
      <c r="O173" s="380"/>
      <c r="P173" s="380"/>
      <c r="R173" s="83">
        <v>5500</v>
      </c>
    </row>
    <row r="174" spans="1:18" x14ac:dyDescent="0.2">
      <c r="A174" s="95" t="s">
        <v>258</v>
      </c>
      <c r="B174" s="79" t="s">
        <v>999</v>
      </c>
      <c r="C174" s="126" t="s">
        <v>283</v>
      </c>
      <c r="D174" s="125">
        <f>M174+O174+(K174*N174)+IF(OR(LEFT(A174)="G",LEFT(A174)="S"),Stats!$E$3-15+Bonuses!$BO$3,IF(OR(LEFT(A174)="Q",LEFT(A174)="R"),Bonuses!$BQ$3,Bonuses!$BP$3))</f>
        <v>22</v>
      </c>
      <c r="E174" s="125">
        <f t="shared" si="14"/>
        <v>3.3</v>
      </c>
      <c r="F174" s="125">
        <f t="shared" si="16"/>
        <v>1.1000000000000001</v>
      </c>
      <c r="G174" s="84" t="str">
        <f>15+(15*K174)&amp;" Feet"</f>
        <v>0 Feet</v>
      </c>
      <c r="H174" s="85" t="str">
        <f>10+(10*K174)&amp;" Mins"</f>
        <v>0 Mins</v>
      </c>
      <c r="J174" s="394">
        <v>200</v>
      </c>
      <c r="K174" s="80">
        <f>IF(ISERROR(C174*1),-1,C174+IF(LEFT(A174)="T",Bonuses!$BR$3,IF(LEFT(A174)="G",Bonuses!$BS$3,IF(LEFT(A174)="Q",Bonuses!$BT$3,IF(LEFT(A174)="S",Bonuses!$BU$3,IF(LEFT(A174)="R",Bonuses!$BV$3,0))))))+P174</f>
        <v>-1</v>
      </c>
      <c r="L174" s="80">
        <v>1</v>
      </c>
      <c r="M174" s="75">
        <v>25</v>
      </c>
      <c r="N174" s="75">
        <v>3</v>
      </c>
      <c r="O174" s="380"/>
      <c r="P174" s="380"/>
      <c r="R174" s="83">
        <v>5000</v>
      </c>
    </row>
    <row r="175" spans="1:18" x14ac:dyDescent="0.2">
      <c r="A175" s="95" t="s">
        <v>259</v>
      </c>
      <c r="B175" s="79" t="s">
        <v>1000</v>
      </c>
      <c r="C175" s="126" t="s">
        <v>283</v>
      </c>
      <c r="D175" s="125">
        <f>M175+O175+(K175*N175)+IF(OR(LEFT(A175)="G",LEFT(A175)="S"),Stats!$E$3-15+Bonuses!$BO$3,IF(OR(LEFT(A175)="Q",LEFT(A175)="R"),Bonuses!$BQ$3,Bonuses!$BP$3))</f>
        <v>22</v>
      </c>
      <c r="E175" s="125">
        <f t="shared" si="14"/>
        <v>3.3</v>
      </c>
      <c r="F175" s="125">
        <f t="shared" si="16"/>
        <v>1.1000000000000001</v>
      </c>
      <c r="G175" s="84" t="str">
        <f>15+(15*K175)&amp;" Feet"</f>
        <v>0 Feet</v>
      </c>
      <c r="H175" s="151" t="s">
        <v>240</v>
      </c>
      <c r="J175" s="394">
        <v>250</v>
      </c>
      <c r="K175" s="80">
        <f>IF(ISERROR(C175*1),-1,C175+IF(LEFT(A175)="T",Bonuses!$BR$3,IF(LEFT(A175)="G",Bonuses!$BS$3,IF(LEFT(A175)="Q",Bonuses!$BT$3,IF(LEFT(A175)="S",Bonuses!$BU$3,IF(LEFT(A175)="R",Bonuses!$BV$3,0))))))+P175</f>
        <v>-1</v>
      </c>
      <c r="L175" s="80">
        <v>1</v>
      </c>
      <c r="M175" s="75">
        <v>25</v>
      </c>
      <c r="N175" s="75">
        <v>3</v>
      </c>
      <c r="O175" s="380"/>
      <c r="P175" s="380"/>
      <c r="R175" s="83">
        <v>8000</v>
      </c>
    </row>
    <row r="176" spans="1:18" x14ac:dyDescent="0.2">
      <c r="A176" s="95" t="s">
        <v>260</v>
      </c>
      <c r="B176" s="79" t="s">
        <v>1001</v>
      </c>
      <c r="C176" s="126" t="s">
        <v>283</v>
      </c>
      <c r="D176" s="125">
        <f>M176+O176+(K176*N176)+IF(OR(LEFT(A176)="G",LEFT(A176)="S"),Stats!$E$3-15+Bonuses!$BO$3,IF(OR(LEFT(A176)="Q",LEFT(A176)="R"),Bonuses!$BQ$3,Bonuses!$BP$3))</f>
        <v>12</v>
      </c>
      <c r="E176" s="125">
        <f t="shared" si="14"/>
        <v>1.7999999999999998</v>
      </c>
      <c r="F176" s="125">
        <f t="shared" si="16"/>
        <v>0.60000000000000009</v>
      </c>
      <c r="G176" s="84" t="str">
        <f>15+(5*K176)&amp;" Feet"</f>
        <v>10 Feet</v>
      </c>
      <c r="H176" s="85" t="str">
        <f>20+(5*K176)&amp;" Secs"</f>
        <v>15 Secs</v>
      </c>
      <c r="J176" s="394">
        <v>300</v>
      </c>
      <c r="K176" s="80">
        <f>IF(ISERROR(C176*1),-1,C176+IF(LEFT(A176)="T",Bonuses!$BR$3,IF(LEFT(A176)="G",Bonuses!$BS$3,IF(LEFT(A176)="Q",Bonuses!$BT$3,IF(LEFT(A176)="S",Bonuses!$BU$3,IF(LEFT(A176)="R",Bonuses!$BV$3,0))))))+P176</f>
        <v>-1</v>
      </c>
      <c r="L176" s="80">
        <v>1</v>
      </c>
      <c r="M176" s="75">
        <v>15</v>
      </c>
      <c r="N176" s="75">
        <v>3</v>
      </c>
      <c r="O176" s="380"/>
      <c r="P176" s="380"/>
      <c r="R176" s="83">
        <v>5000</v>
      </c>
    </row>
    <row r="177" spans="1:18" x14ac:dyDescent="0.2">
      <c r="A177" s="95" t="s">
        <v>261</v>
      </c>
      <c r="B177" s="79" t="s">
        <v>1002</v>
      </c>
      <c r="C177" s="126" t="s">
        <v>283</v>
      </c>
      <c r="D177" s="125">
        <f>M177+O177+(K177*N177)+IF(OR(LEFT(A177)="G",LEFT(A177)="S"),Stats!$E$3-15+Bonuses!$BO$3,IF(OR(LEFT(A177)="Q",LEFT(A177)="R"),Bonuses!$BQ$3,Bonuses!$BP$3))</f>
        <v>7</v>
      </c>
      <c r="E177" s="125">
        <f t="shared" si="14"/>
        <v>1.05</v>
      </c>
      <c r="F177" s="125">
        <f t="shared" si="16"/>
        <v>0.35000000000000003</v>
      </c>
      <c r="G177" s="84" t="str">
        <f>5+(5*K177)&amp;" Feet"</f>
        <v>0 Feet</v>
      </c>
      <c r="H177" s="85" t="str">
        <f>"Con "&amp;10+(10*K177)&amp;" Secs"</f>
        <v>Con 0 Secs</v>
      </c>
      <c r="J177" s="394">
        <v>450</v>
      </c>
      <c r="K177" s="80">
        <f>IF(ISERROR(C177*1),-1,C177+IF(LEFT(A177)="T",Bonuses!$BR$3,IF(LEFT(A177)="G",Bonuses!$BS$3,IF(LEFT(A177)="Q",Bonuses!$BT$3,IF(LEFT(A177)="S",Bonuses!$BU$3,IF(LEFT(A177)="R",Bonuses!$BV$3,0))))))+P177</f>
        <v>-1</v>
      </c>
      <c r="L177" s="80">
        <v>1</v>
      </c>
      <c r="M177" s="75">
        <v>10</v>
      </c>
      <c r="N177" s="75">
        <v>3</v>
      </c>
      <c r="O177" s="380"/>
      <c r="P177" s="380"/>
      <c r="R177" s="83">
        <v>5000</v>
      </c>
    </row>
    <row r="178" spans="1:18" x14ac:dyDescent="0.2">
      <c r="A178" s="95" t="s">
        <v>262</v>
      </c>
      <c r="B178" s="79" t="s">
        <v>1003</v>
      </c>
      <c r="C178" s="126" t="s">
        <v>283</v>
      </c>
      <c r="D178" s="125">
        <f>M178+O178+(K178*N178)+IF(OR(LEFT(A178)="G",LEFT(A178)="S"),Stats!$E$3-15+Bonuses!$BO$3,IF(OR(LEFT(A178)="Q",LEFT(A178)="R"),Bonuses!$BQ$3,Bonuses!$BP$3))</f>
        <v>12</v>
      </c>
      <c r="E178" s="125">
        <f t="shared" si="14"/>
        <v>1.7999999999999998</v>
      </c>
      <c r="F178" s="125">
        <f t="shared" si="16"/>
        <v>0.60000000000000009</v>
      </c>
      <c r="G178" s="84" t="str">
        <f>10+(K178)&amp;" Feet"</f>
        <v>9 Feet</v>
      </c>
      <c r="H178" s="85" t="str">
        <f>10+(10*K178)&amp;" Mins"</f>
        <v>0 Mins</v>
      </c>
      <c r="J178" s="394">
        <v>150</v>
      </c>
      <c r="K178" s="80">
        <f>IF(ISERROR(C178*1),-1,C178+IF(LEFT(A178)="T",Bonuses!$BR$3,IF(LEFT(A178)="G",Bonuses!$BS$3,IF(LEFT(A178)="Q",Bonuses!$BT$3,IF(LEFT(A178)="S",Bonuses!$BU$3,IF(LEFT(A178)="R",Bonuses!$BV$3,0))))))+P178</f>
        <v>-1</v>
      </c>
      <c r="L178" s="80">
        <v>1</v>
      </c>
      <c r="M178" s="75">
        <v>15</v>
      </c>
      <c r="N178" s="75">
        <v>3</v>
      </c>
      <c r="O178" s="380"/>
      <c r="P178" s="380"/>
      <c r="R178" s="83">
        <v>15000</v>
      </c>
    </row>
    <row r="179" spans="1:18" x14ac:dyDescent="0.2">
      <c r="A179" s="95" t="s">
        <v>263</v>
      </c>
      <c r="B179" s="79" t="s">
        <v>1004</v>
      </c>
      <c r="C179" s="126" t="s">
        <v>283</v>
      </c>
      <c r="D179" s="125">
        <f>M179+O179+(K179*N179)+IF(OR(LEFT(A179)="G",LEFT(A179)="S"),Stats!$E$3-15+Bonuses!$BO$3,IF(OR(LEFT(A179)="Q",LEFT(A179)="R"),Bonuses!$BQ$3,Bonuses!$BP$3))</f>
        <v>22</v>
      </c>
      <c r="E179" s="125">
        <f t="shared" si="14"/>
        <v>3.3</v>
      </c>
      <c r="F179" s="125">
        <f t="shared" si="16"/>
        <v>1.1000000000000001</v>
      </c>
      <c r="G179" s="80" t="s">
        <v>616</v>
      </c>
      <c r="H179" s="85" t="str">
        <f>10+(10*K179)&amp;" Mins"</f>
        <v>0 Mins</v>
      </c>
      <c r="J179" s="394">
        <v>200</v>
      </c>
      <c r="K179" s="80">
        <f>IF(ISERROR(C179*1),-1,C179+IF(LEFT(A179)="T",Bonuses!$BR$3,IF(LEFT(A179)="G",Bonuses!$BS$3,IF(LEFT(A179)="Q",Bonuses!$BT$3,IF(LEFT(A179)="S",Bonuses!$BU$3,IF(LEFT(A179)="R",Bonuses!$BV$3,0))))))+P179</f>
        <v>-1</v>
      </c>
      <c r="L179" s="80">
        <v>1</v>
      </c>
      <c r="M179" s="75">
        <v>25</v>
      </c>
      <c r="N179" s="75">
        <v>3</v>
      </c>
      <c r="O179" s="380"/>
      <c r="P179" s="380"/>
    </row>
    <row r="180" spans="1:18" x14ac:dyDescent="0.2">
      <c r="A180" s="95" t="s">
        <v>264</v>
      </c>
      <c r="B180" s="79" t="s">
        <v>1005</v>
      </c>
      <c r="C180" s="126" t="s">
        <v>283</v>
      </c>
      <c r="D180" s="125">
        <f>M180+O180+(K180*N180)+IF(OR(LEFT(A180)="G",LEFT(A180)="S"),Stats!$E$3-15+Bonuses!$BO$3,IF(OR(LEFT(A180)="Q",LEFT(A180)="R"),Bonuses!$BQ$3,Bonuses!$BP$3))</f>
        <v>12</v>
      </c>
      <c r="E180" s="125">
        <f t="shared" si="14"/>
        <v>1.7999999999999998</v>
      </c>
      <c r="F180" s="125">
        <f t="shared" si="16"/>
        <v>0.60000000000000009</v>
      </c>
      <c r="G180" s="84" t="str">
        <f>5+(5*K180)&amp;" Feet"</f>
        <v>0 Feet</v>
      </c>
      <c r="H180" s="85" t="str">
        <f>10+(10*K180)&amp;" Mins"</f>
        <v>0 Mins</v>
      </c>
      <c r="J180" s="394">
        <v>250</v>
      </c>
      <c r="K180" s="80">
        <f>IF(ISERROR(C180*1),-1,C180+IF(LEFT(A180)="T",Bonuses!$BR$3,IF(LEFT(A180)="G",Bonuses!$BS$3,IF(LEFT(A180)="Q",Bonuses!$BT$3,IF(LEFT(A180)="S",Bonuses!$BU$3,IF(LEFT(A180)="R",Bonuses!$BV$3,0))))))+P180</f>
        <v>-1</v>
      </c>
      <c r="L180" s="80">
        <v>1</v>
      </c>
      <c r="M180" s="75">
        <v>15</v>
      </c>
      <c r="N180" s="75">
        <v>3</v>
      </c>
      <c r="O180" s="380"/>
      <c r="P180" s="380"/>
      <c r="R180" s="83">
        <v>12000</v>
      </c>
    </row>
    <row r="181" spans="1:18" x14ac:dyDescent="0.2">
      <c r="A181" s="95" t="s">
        <v>700</v>
      </c>
      <c r="B181" s="79" t="s">
        <v>1006</v>
      </c>
      <c r="C181" s="126" t="s">
        <v>283</v>
      </c>
      <c r="D181" s="125">
        <f>M181+O181+(K181*N181)+IF(OR(LEFT(A181)="G",LEFT(A181)="S"),Stats!$E$3-15+Bonuses!$BO$3,IF(OR(LEFT(A181)="Q",LEFT(A181)="R"),Bonuses!$BQ$3,Bonuses!$BP$3))</f>
        <v>27</v>
      </c>
      <c r="E181" s="125">
        <f t="shared" si="14"/>
        <v>4.05</v>
      </c>
      <c r="F181" s="125">
        <f t="shared" si="16"/>
        <v>1.35</v>
      </c>
      <c r="G181" s="84" t="str">
        <f>5+(5*K181)&amp;" Feet"</f>
        <v>0 Feet</v>
      </c>
      <c r="J181" s="394">
        <v>250</v>
      </c>
      <c r="K181" s="80">
        <f>IF(ISERROR(C181*1),-1,C181+IF(LEFT(A181)="T",Bonuses!$BR$3,IF(LEFT(A181)="G",Bonuses!$BS$3,IF(LEFT(A181)="Q",Bonuses!$BT$3,IF(LEFT(A181)="S",Bonuses!$BU$3,IF(LEFT(A181)="R",Bonuses!$BV$3,0))))))+P181</f>
        <v>-1</v>
      </c>
      <c r="L181" s="80">
        <v>1</v>
      </c>
      <c r="M181" s="75">
        <v>30</v>
      </c>
      <c r="N181" s="75">
        <v>3</v>
      </c>
      <c r="O181" s="380"/>
      <c r="P181" s="380"/>
      <c r="R181" s="83">
        <v>4500</v>
      </c>
    </row>
    <row r="182" spans="1:18" x14ac:dyDescent="0.2">
      <c r="A182" s="95" t="s">
        <v>702</v>
      </c>
      <c r="B182" s="79" t="s">
        <v>1007</v>
      </c>
      <c r="C182" s="126" t="s">
        <v>283</v>
      </c>
      <c r="D182" s="125">
        <f>M182+O182+(K182*N182)+IF(OR(LEFT(A182)="G",LEFT(A182)="S"),Stats!$E$3-15+Bonuses!$BO$3,IF(OR(LEFT(A182)="Q",LEFT(A182)="R"),Bonuses!$BQ$3,Bonuses!$BP$3))</f>
        <v>17</v>
      </c>
      <c r="E182" s="125">
        <f t="shared" si="14"/>
        <v>2.5499999999999998</v>
      </c>
      <c r="F182" s="125">
        <f t="shared" si="16"/>
        <v>0.85000000000000009</v>
      </c>
      <c r="G182" s="84" t="str">
        <f>100+(100*K182)&amp;" Miles"</f>
        <v>0 Miles</v>
      </c>
      <c r="H182" s="151" t="s">
        <v>240</v>
      </c>
      <c r="I182" s="94" t="str">
        <f>(K182+1)*5&amp;" Words D+(1/100Mi) Hrs"</f>
        <v>0 Words D+(1/100Mi) Hrs</v>
      </c>
      <c r="J182" s="394">
        <v>250</v>
      </c>
      <c r="K182" s="80">
        <f>IF(ISERROR(C182*1),-1,C182+IF(LEFT(A182)="T",Bonuses!$BR$3,IF(LEFT(A182)="G",Bonuses!$BS$3,IF(LEFT(A182)="Q",Bonuses!$BT$3,IF(LEFT(A182)="S",Bonuses!$BU$3,IF(LEFT(A182)="R",Bonuses!$BV$3,0))))))+P182</f>
        <v>-1</v>
      </c>
      <c r="L182" s="80">
        <v>1</v>
      </c>
      <c r="M182" s="75">
        <v>20</v>
      </c>
      <c r="N182" s="75">
        <v>3</v>
      </c>
      <c r="O182" s="380"/>
      <c r="P182" s="380"/>
      <c r="R182" s="83">
        <v>5000</v>
      </c>
    </row>
    <row r="183" spans="1:18" x14ac:dyDescent="0.2">
      <c r="A183" s="95" t="s">
        <v>625</v>
      </c>
      <c r="B183" s="79" t="s">
        <v>1008</v>
      </c>
      <c r="C183" s="126" t="s">
        <v>283</v>
      </c>
      <c r="D183" s="125">
        <f>M183+O183+(K183*N183)+IF(OR(LEFT(A183)="G",LEFT(A183)="S"),Stats!$E$3-15+Bonuses!$BO$3,IF(OR(LEFT(A183)="Q",LEFT(A183)="R"),Bonuses!$BQ$3,Bonuses!$BP$3))</f>
        <v>16</v>
      </c>
      <c r="E183" s="125">
        <f t="shared" si="14"/>
        <v>2.4</v>
      </c>
      <c r="F183" s="125">
        <f t="shared" si="16"/>
        <v>0.8</v>
      </c>
      <c r="G183" s="80" t="s">
        <v>679</v>
      </c>
      <c r="H183" s="151" t="s">
        <v>240</v>
      </c>
      <c r="J183" s="394">
        <v>200</v>
      </c>
      <c r="K183" s="80">
        <f>IF(ISERROR(C183*1),-1,C183+IF(LEFT(A183)="T",Bonuses!$BR$3,IF(LEFT(A183)="G",Bonuses!$BS$3,IF(LEFT(A183)="Q",Bonuses!$BT$3,IF(LEFT(A183)="S",Bonuses!$BU$3,IF(LEFT(A183)="R",Bonuses!$BV$3,0))))))+P183</f>
        <v>-1</v>
      </c>
      <c r="L183" s="80">
        <v>7</v>
      </c>
      <c r="M183" s="75">
        <v>20</v>
      </c>
      <c r="N183" s="75">
        <v>4</v>
      </c>
      <c r="O183" s="380"/>
      <c r="P183" s="380"/>
      <c r="R183" s="83">
        <v>2000</v>
      </c>
    </row>
    <row r="184" spans="1:18" x14ac:dyDescent="0.2">
      <c r="A184" s="95" t="s">
        <v>627</v>
      </c>
      <c r="B184" s="79" t="s">
        <v>1009</v>
      </c>
      <c r="C184" s="126" t="s">
        <v>283</v>
      </c>
      <c r="D184" s="125">
        <f>M184+O184+(K184*N184)+IF(OR(LEFT(A184)="G",LEFT(A184)="S"),Stats!$E$3-15+Bonuses!$BO$3,IF(OR(LEFT(A184)="Q",LEFT(A184)="R"),Bonuses!$BQ$3,Bonuses!$BP$3))</f>
        <v>11</v>
      </c>
      <c r="E184" s="125">
        <f t="shared" si="14"/>
        <v>1.65</v>
      </c>
      <c r="F184" s="125">
        <f t="shared" si="16"/>
        <v>0.55000000000000004</v>
      </c>
      <c r="G184" s="84" t="str">
        <f>1+(K184)&amp;" Miles"</f>
        <v>0 Miles</v>
      </c>
      <c r="H184" s="85" t="str">
        <f>4+(2*K184)&amp;" Weeks"</f>
        <v>2 Weeks</v>
      </c>
      <c r="J184" s="394">
        <v>250</v>
      </c>
      <c r="K184" s="80">
        <f>IF(ISERROR(C184*1),-1,C184+IF(LEFT(A184)="T",Bonuses!$BR$3,IF(LEFT(A184)="G",Bonuses!$BS$3,IF(LEFT(A184)="Q",Bonuses!$BT$3,IF(LEFT(A184)="S",Bonuses!$BU$3,IF(LEFT(A184)="R",Bonuses!$BV$3,0))))))+P184</f>
        <v>-1</v>
      </c>
      <c r="L184" s="80">
        <v>7</v>
      </c>
      <c r="M184" s="75">
        <f>Stats!$E$3</f>
        <v>15</v>
      </c>
      <c r="N184" s="75">
        <v>4</v>
      </c>
      <c r="O184" s="380"/>
      <c r="P184" s="380"/>
      <c r="R184" s="83">
        <v>5000</v>
      </c>
    </row>
    <row r="185" spans="1:18" x14ac:dyDescent="0.2">
      <c r="A185" s="95" t="s">
        <v>629</v>
      </c>
      <c r="B185" s="79" t="s">
        <v>1010</v>
      </c>
      <c r="C185" s="126" t="s">
        <v>283</v>
      </c>
      <c r="D185" s="125">
        <f>M185+O185+(K185*N185)+IF(OR(LEFT(A185)="G",LEFT(A185)="S"),Stats!$E$3-15+Bonuses!$BO$3,IF(OR(LEFT(A185)="Q",LEFT(A185)="R"),Bonuses!$BQ$3,Bonuses!$BP$3))</f>
        <v>12</v>
      </c>
      <c r="E185" s="125">
        <f t="shared" si="14"/>
        <v>1.7999999999999998</v>
      </c>
      <c r="F185" s="125">
        <f t="shared" si="16"/>
        <v>0.60000000000000009</v>
      </c>
      <c r="G185" s="80" t="s">
        <v>853</v>
      </c>
      <c r="H185" s="151" t="s">
        <v>240</v>
      </c>
      <c r="J185" s="394">
        <v>400</v>
      </c>
      <c r="K185" s="80">
        <f>IF(ISERROR(C185*1),-1,C185+IF(LEFT(A185)="T",Bonuses!$BR$3,IF(LEFT(A185)="G",Bonuses!$BS$3,IF(LEFT(A185)="Q",Bonuses!$BT$3,IF(LEFT(A185)="S",Bonuses!$BU$3,IF(LEFT(A185)="R",Bonuses!$BV$3,0))))))+P185</f>
        <v>-1</v>
      </c>
      <c r="L185" s="80">
        <v>7</v>
      </c>
      <c r="M185" s="75">
        <f>Stats!$E$3</f>
        <v>15</v>
      </c>
      <c r="N185" s="75">
        <v>3</v>
      </c>
      <c r="O185" s="380"/>
      <c r="P185" s="380"/>
      <c r="R185" s="83">
        <v>20000</v>
      </c>
    </row>
    <row r="186" spans="1:18" x14ac:dyDescent="0.2">
      <c r="A186" s="95" t="s">
        <v>632</v>
      </c>
      <c r="B186" s="79" t="s">
        <v>1011</v>
      </c>
      <c r="C186" s="126" t="s">
        <v>283</v>
      </c>
      <c r="D186" s="125">
        <f>M186+O186+(K186*N186)+IF(OR(LEFT(A186)="G",LEFT(A186)="S"),Stats!$E$3-15+Bonuses!$BO$3,IF(OR(LEFT(A186)="Q",LEFT(A186)="R"),Bonuses!$BQ$3,Bonuses!$BP$3))</f>
        <v>12</v>
      </c>
      <c r="E186" s="125">
        <f t="shared" si="14"/>
        <v>1.7999999999999998</v>
      </c>
      <c r="F186" s="125">
        <f t="shared" si="16"/>
        <v>0.60000000000000009</v>
      </c>
      <c r="G186" s="84" t="str">
        <f>30+(30*K186)&amp;" Feet"</f>
        <v>0 Feet</v>
      </c>
      <c r="J186" s="394">
        <v>400</v>
      </c>
      <c r="K186" s="80">
        <f>IF(ISERROR(C186*1),-1,C186+IF(LEFT(A186)="T",Bonuses!$BR$3,IF(LEFT(A186)="G",Bonuses!$BS$3,IF(LEFT(A186)="Q",Bonuses!$BT$3,IF(LEFT(A186)="S",Bonuses!$BU$3,IF(LEFT(A186)="R",Bonuses!$BV$3,0))))))+P186</f>
        <v>-1</v>
      </c>
      <c r="L186" s="80">
        <v>7</v>
      </c>
      <c r="M186" s="75">
        <f>Stats!$E$3</f>
        <v>15</v>
      </c>
      <c r="N186" s="75">
        <v>3</v>
      </c>
      <c r="O186" s="380"/>
      <c r="P186" s="380"/>
      <c r="R186" s="83">
        <v>4000</v>
      </c>
    </row>
    <row r="188" spans="1:18" ht="15" customHeight="1" x14ac:dyDescent="0.2">
      <c r="A188" s="73"/>
      <c r="B188" s="73" t="s">
        <v>1014</v>
      </c>
      <c r="C188" s="74" t="s">
        <v>149</v>
      </c>
      <c r="D188" s="97" t="s">
        <v>231</v>
      </c>
      <c r="E188" s="97" t="s">
        <v>265</v>
      </c>
      <c r="F188" s="97" t="s">
        <v>266</v>
      </c>
      <c r="G188" s="74" t="s">
        <v>2</v>
      </c>
      <c r="H188" s="74" t="s">
        <v>232</v>
      </c>
      <c r="I188" s="74" t="s">
        <v>234</v>
      </c>
      <c r="J188" s="393" t="s">
        <v>233</v>
      </c>
      <c r="K188" s="75" t="s">
        <v>149</v>
      </c>
      <c r="L188" s="75" t="s">
        <v>235</v>
      </c>
      <c r="M188" s="75" t="s">
        <v>236</v>
      </c>
      <c r="N188" s="76" t="s">
        <v>269</v>
      </c>
      <c r="O188" s="3" t="s">
        <v>169</v>
      </c>
      <c r="P188" s="3" t="s">
        <v>171</v>
      </c>
      <c r="Q188" s="77" t="s">
        <v>237</v>
      </c>
      <c r="R188" s="78" t="s">
        <v>238</v>
      </c>
    </row>
    <row r="189" spans="1:18" x14ac:dyDescent="0.2">
      <c r="A189" s="95" t="s">
        <v>239</v>
      </c>
      <c r="B189" s="79" t="s">
        <v>1016</v>
      </c>
      <c r="C189" s="126"/>
      <c r="D189" s="257"/>
      <c r="E189" s="257"/>
      <c r="F189" s="257"/>
      <c r="G189" s="84"/>
      <c r="I189" s="94" t="s">
        <v>1052</v>
      </c>
      <c r="L189" s="80">
        <v>0</v>
      </c>
      <c r="O189" s="380"/>
      <c r="P189" s="380"/>
    </row>
    <row r="190" spans="1:18" x14ac:dyDescent="0.2">
      <c r="A190" s="95" t="s">
        <v>611</v>
      </c>
      <c r="B190" s="79" t="s">
        <v>1015</v>
      </c>
      <c r="C190" s="126">
        <v>0</v>
      </c>
      <c r="D190" s="125">
        <f>M190+O190+(K190*N190)+IF(OR(LEFT(A190)="G",LEFT(A190)="S"),Stats!$E$3-15+Bonuses!$BO$3,IF(OR(LEFT(A190)="Q",LEFT(A190)="R"),Bonuses!$BQ$3,Bonuses!$BP$3))</f>
        <v>5</v>
      </c>
      <c r="E190" s="125">
        <f t="shared" ref="E190:E227" si="17">D190*0.15</f>
        <v>0.75</v>
      </c>
      <c r="F190" s="125">
        <f t="shared" ref="F190:F196" si="18">D190*0.05</f>
        <v>0.25</v>
      </c>
      <c r="G190" s="84" t="str">
        <f>30+(5*K190)&amp;" Feet"</f>
        <v>30 Feet</v>
      </c>
      <c r="H190" s="151" t="s">
        <v>240</v>
      </c>
      <c r="I190" s="94" t="str">
        <f>CONCATENATE("Touch BC: ",D190+(2*K190),"%")</f>
        <v>Touch BC: 5%</v>
      </c>
      <c r="J190" s="394">
        <v>50</v>
      </c>
      <c r="K190" s="80">
        <f>IF(ISERROR(C190*1),-1,C190+IF(LEFT(A190)="T",Bonuses!$BR$3,IF(LEFT(A190)="G",Bonuses!$BS$3,IF(LEFT(A190)="Q",Bonuses!$BT$3,IF(LEFT(A190)="S",Bonuses!$BU$3,IF(LEFT(A190)="R",Bonuses!$BV$3,0))))))+P190</f>
        <v>0</v>
      </c>
      <c r="L190" s="80">
        <v>0</v>
      </c>
      <c r="M190" s="75">
        <f>Stats!$I$3</f>
        <v>5</v>
      </c>
      <c r="N190" s="75">
        <v>3</v>
      </c>
      <c r="O190" s="380"/>
      <c r="P190" s="380"/>
    </row>
    <row r="191" spans="1:18" x14ac:dyDescent="0.2">
      <c r="A191" s="95" t="s">
        <v>241</v>
      </c>
      <c r="B191" s="79" t="s">
        <v>1017</v>
      </c>
      <c r="C191" s="126">
        <v>0</v>
      </c>
      <c r="D191" s="125">
        <f>M191+O191+(K191*N191)+IF(OR(LEFT(A191)="G",LEFT(A191)="S"),Stats!$E$3-15+Bonuses!$BO$3,IF(OR(LEFT(A191)="Q",LEFT(A191)="R"),Bonuses!$BQ$3,Bonuses!$BP$3))</f>
        <v>35</v>
      </c>
      <c r="E191" s="125">
        <f t="shared" si="17"/>
        <v>5.25</v>
      </c>
      <c r="F191" s="125">
        <f t="shared" si="18"/>
        <v>1.75</v>
      </c>
      <c r="G191" s="84" t="str">
        <f>10+(10*K191)&amp;" Feet"</f>
        <v>10 Feet</v>
      </c>
      <c r="H191" s="151" t="s">
        <v>240</v>
      </c>
      <c r="I191" s="94" t="str">
        <f>CONCATENATE(1+(K191*2)," Cubic Feet, PS: ",10+(K191*2),". ",10*K191,"% of Hex")</f>
        <v>1 Cubic Feet, PS: 10. 0% of Hex</v>
      </c>
      <c r="J191" s="394">
        <v>175</v>
      </c>
      <c r="K191" s="80">
        <f>IF(ISERROR(C191*1),-1,C191+IF(LEFT(A191)="T",Bonuses!$BR$3,IF(LEFT(A191)="G",Bonuses!$BS$3,IF(LEFT(A191)="Q",Bonuses!$BT$3,IF(LEFT(A191)="S",Bonuses!$BU$3,IF(LEFT(A191)="R",Bonuses!$BV$3,0))))))+P191</f>
        <v>0</v>
      </c>
      <c r="L191" s="80">
        <v>1</v>
      </c>
      <c r="M191" s="75">
        <v>35</v>
      </c>
      <c r="N191" s="75">
        <v>3</v>
      </c>
      <c r="O191" s="380"/>
      <c r="P191" s="380"/>
      <c r="Q191" s="86">
        <f>MAX((MAX(Stats!$E$2,Ranking!$C$13)-15)*5,0)</f>
        <v>0</v>
      </c>
      <c r="R191" s="83">
        <v>300</v>
      </c>
    </row>
    <row r="192" spans="1:18" x14ac:dyDescent="0.2">
      <c r="A192" s="95" t="s">
        <v>242</v>
      </c>
      <c r="B192" s="79" t="s">
        <v>1018</v>
      </c>
      <c r="C192" s="126">
        <v>0</v>
      </c>
      <c r="D192" s="125">
        <f>M192+O192+(K192*N192)+IF(OR(LEFT(A192)="G",LEFT(A192)="S"),Stats!$E$3-15+Bonuses!$BO$3,IF(OR(LEFT(A192)="Q",LEFT(A192)="R"),Bonuses!$BQ$3,Bonuses!$BP$3))</f>
        <v>20</v>
      </c>
      <c r="E192" s="125">
        <f t="shared" si="17"/>
        <v>3</v>
      </c>
      <c r="F192" s="125">
        <f t="shared" si="18"/>
        <v>1</v>
      </c>
      <c r="G192" s="84" t="str">
        <f>10+(10*K192)&amp;" Feet"</f>
        <v>10 Feet</v>
      </c>
      <c r="H192" s="85" t="str">
        <f>10*(1+K192)&amp;" Mins"</f>
        <v>10 Mins</v>
      </c>
      <c r="I192" s="94" t="str">
        <f>CONCATENATE("Obj &lt;",(K192+1)*10," lbs. Cmd:",(K192+1),". PS:",5+K192," SC:",(10+K192)*2,"% D+2")</f>
        <v>Obj &lt;10 lbs. Cmd:1. PS:5 SC:20% D+2</v>
      </c>
      <c r="J192" s="394">
        <v>300</v>
      </c>
      <c r="K192" s="80">
        <f>IF(ISERROR(C192*1),-1,C192+IF(LEFT(A192)="T",Bonuses!$BR$3,IF(LEFT(A192)="G",Bonuses!$BS$3,IF(LEFT(A192)="Q",Bonuses!$BT$3,IF(LEFT(A192)="S",Bonuses!$BU$3,IF(LEFT(A192)="R",Bonuses!$BV$3,0))))))+P192</f>
        <v>0</v>
      </c>
      <c r="L192" s="80">
        <v>1</v>
      </c>
      <c r="M192" s="75">
        <v>20</v>
      </c>
      <c r="N192" s="75">
        <v>3</v>
      </c>
      <c r="O192" s="380"/>
      <c r="P192" s="380"/>
      <c r="Q192" s="86">
        <f>MAX((MAX(Stats!$E$2,Ranking!$C$13)-15)*5,0)</f>
        <v>0</v>
      </c>
      <c r="R192" s="83">
        <v>300</v>
      </c>
    </row>
    <row r="193" spans="1:18" x14ac:dyDescent="0.2">
      <c r="A193" s="95" t="s">
        <v>243</v>
      </c>
      <c r="B193" s="79" t="s">
        <v>1019</v>
      </c>
      <c r="C193" s="126">
        <v>0</v>
      </c>
      <c r="D193" s="125">
        <f>M193+O193+(K193*N193)+IF(OR(LEFT(A193)="G",LEFT(A193)="S"),Stats!$E$3-15+Bonuses!$BO$3,IF(OR(LEFT(A193)="Q",LEFT(A193)="R"),Bonuses!$BQ$3,Bonuses!$BP$3))</f>
        <v>40</v>
      </c>
      <c r="E193" s="125">
        <f t="shared" si="17"/>
        <v>6</v>
      </c>
      <c r="F193" s="125">
        <f t="shared" si="18"/>
        <v>2</v>
      </c>
      <c r="G193" s="84" t="str">
        <f>1+K193&amp;" Feet"</f>
        <v>1 Feet</v>
      </c>
      <c r="H193" s="85" t="str">
        <f>(1+K193)&amp;" Days"</f>
        <v>1 Days</v>
      </c>
      <c r="I193" s="94" t="str">
        <f>CONCATENATE(5+(K193*3)," Words, ",1+TRUNC(K193/2)," Triggers.")</f>
        <v>5 Words, 1 Triggers.</v>
      </c>
      <c r="J193" s="394">
        <v>200</v>
      </c>
      <c r="K193" s="80">
        <f>IF(ISERROR(C193*1),-1,C193+IF(LEFT(A193)="T",Bonuses!$BR$3,IF(LEFT(A193)="G",Bonuses!$BS$3,IF(LEFT(A193)="Q",Bonuses!$BT$3,IF(LEFT(A193)="S",Bonuses!$BU$3,IF(LEFT(A193)="R",Bonuses!$BV$3,0))))))+P193</f>
        <v>0</v>
      </c>
      <c r="L193" s="80">
        <v>1</v>
      </c>
      <c r="M193" s="75">
        <v>40</v>
      </c>
      <c r="N193" s="75">
        <v>3</v>
      </c>
      <c r="O193" s="380"/>
      <c r="P193" s="380"/>
      <c r="Q193" s="86">
        <f>MAX((MAX(Stats!$E$2,Ranking!$C$13)-15)*5,0)</f>
        <v>0</v>
      </c>
      <c r="R193" s="83">
        <v>300</v>
      </c>
    </row>
    <row r="194" spans="1:18" x14ac:dyDescent="0.2">
      <c r="A194" s="95" t="s">
        <v>245</v>
      </c>
      <c r="B194" s="79" t="s">
        <v>1020</v>
      </c>
      <c r="C194" s="126">
        <v>0</v>
      </c>
      <c r="D194" s="125">
        <f>M194+O194+(K194*N194)+IF(OR(LEFT(A194)="G",LEFT(A194)="S"),Stats!$E$3-15+Bonuses!$BO$3,IF(OR(LEFT(A194)="Q",LEFT(A194)="R"),Bonuses!$BQ$3,Bonuses!$BP$3))</f>
        <v>25</v>
      </c>
      <c r="E194" s="125">
        <f t="shared" si="17"/>
        <v>3.75</v>
      </c>
      <c r="F194" s="125">
        <f t="shared" si="18"/>
        <v>1.25</v>
      </c>
      <c r="G194" s="84" t="str">
        <f>5+(5*K194)&amp;" Feet"</f>
        <v>5 Feet</v>
      </c>
      <c r="H194" s="85" t="str">
        <f>10*(1+K194)&amp;" Mins"</f>
        <v>10 Mins</v>
      </c>
      <c r="I194" s="94" t="str">
        <f>CONCATENATE("Obj &lt;",(K194+1)*2," lbs. +",2+TRUNC(K194/10),"AP +",K194*2,"% WpnBrk")</f>
        <v>Obj &lt;2 lbs. +2AP +0% WpnBrk</v>
      </c>
      <c r="J194" s="394">
        <v>250</v>
      </c>
      <c r="K194" s="80">
        <f>IF(ISERROR(C194*1),-1,C194+IF(LEFT(A194)="T",Bonuses!$BR$3,IF(LEFT(A194)="G",Bonuses!$BS$3,IF(LEFT(A194)="Q",Bonuses!$BT$3,IF(LEFT(A194)="S",Bonuses!$BU$3,IF(LEFT(A194)="R",Bonuses!$BV$3,0))))))+P194</f>
        <v>0</v>
      </c>
      <c r="L194" s="80">
        <v>1</v>
      </c>
      <c r="M194" s="75">
        <v>25</v>
      </c>
      <c r="N194" s="75">
        <v>3</v>
      </c>
      <c r="O194" s="380"/>
      <c r="P194" s="380"/>
      <c r="Q194" s="86">
        <f>MAX((MAX(Stats!$E$2,Ranking!$C$13)-15)*5,0)</f>
        <v>0</v>
      </c>
      <c r="R194" s="83">
        <v>300</v>
      </c>
    </row>
    <row r="195" spans="1:18" x14ac:dyDescent="0.2">
      <c r="A195" s="95" t="s">
        <v>246</v>
      </c>
      <c r="B195" s="79" t="s">
        <v>1021</v>
      </c>
      <c r="C195" s="126">
        <v>0</v>
      </c>
      <c r="D195" s="125">
        <f>M195+O195+(K195*N195)+IF(OR(LEFT(A195)="G",LEFT(A195)="S"),Stats!$E$3-15+Bonuses!$BO$3,IF(OR(LEFT(A195)="Q",LEFT(A195)="R"),Bonuses!$BQ$3,Bonuses!$BP$3))</f>
        <v>40</v>
      </c>
      <c r="E195" s="125">
        <f t="shared" si="17"/>
        <v>6</v>
      </c>
      <c r="F195" s="125">
        <f t="shared" si="18"/>
        <v>2</v>
      </c>
      <c r="G195" s="84" t="s">
        <v>679</v>
      </c>
      <c r="H195" s="85" t="s">
        <v>240</v>
      </c>
      <c r="I195" s="94" t="str">
        <f>CONCATENATE("Object &lt; ",(K195+1)*10," lbs or 1 Golem")</f>
        <v>Object &lt; 10 lbs or 1 Golem</v>
      </c>
      <c r="J195" s="394">
        <v>150</v>
      </c>
      <c r="K195" s="80">
        <f>IF(ISERROR(C195*1),-1,C195+IF(LEFT(A195)="T",Bonuses!$BR$3,IF(LEFT(A195)="G",Bonuses!$BS$3,IF(LEFT(A195)="Q",Bonuses!$BT$3,IF(LEFT(A195)="S",Bonuses!$BU$3,IF(LEFT(A195)="R",Bonuses!$BV$3,0))))))+P195</f>
        <v>0</v>
      </c>
      <c r="L195" s="80">
        <v>1</v>
      </c>
      <c r="M195" s="75">
        <v>40</v>
      </c>
      <c r="N195" s="75">
        <v>3</v>
      </c>
      <c r="O195" s="380"/>
      <c r="P195" s="380"/>
      <c r="Q195" s="86">
        <f>MAX((MAX(Stats!$E$2,Ranking!$C$13)-15)*5,0)</f>
        <v>0</v>
      </c>
      <c r="R195" s="83">
        <v>300</v>
      </c>
    </row>
    <row r="196" spans="1:18" x14ac:dyDescent="0.2">
      <c r="A196" s="95" t="s">
        <v>247</v>
      </c>
      <c r="B196" s="79" t="s">
        <v>1022</v>
      </c>
      <c r="C196" s="126">
        <v>0</v>
      </c>
      <c r="D196" s="125">
        <f>M196+O196+(K196*N196)+IF(OR(LEFT(A196)="G",LEFT(A196)="S"),Stats!$E$3-15+Bonuses!$BO$3,IF(OR(LEFT(A196)="Q",LEFT(A196)="R"),Bonuses!$BQ$3,Bonuses!$BP$3))</f>
        <v>30</v>
      </c>
      <c r="E196" s="125">
        <f t="shared" si="17"/>
        <v>4.5</v>
      </c>
      <c r="F196" s="125">
        <f t="shared" si="18"/>
        <v>1.5</v>
      </c>
      <c r="G196" s="84" t="str">
        <f>5+(5*K196)&amp;" Feet"</f>
        <v>5 Feet</v>
      </c>
      <c r="H196" s="85" t="str">
        <f>1*(1+K196)&amp;" Hours"</f>
        <v>1 Hours</v>
      </c>
      <c r="I196" s="94" t="str">
        <f>CONCATENATE("+/- ",1+ROUND(K196/4,0)," Levels")</f>
        <v>+/- 1 Levels</v>
      </c>
      <c r="J196" s="394">
        <v>100</v>
      </c>
      <c r="K196" s="80">
        <f>IF(ISERROR(C196*1),-1,C196+IF(LEFT(A196)="T",Bonuses!$BR$3,IF(LEFT(A196)="G",Bonuses!$BS$3,IF(LEFT(A196)="Q",Bonuses!$BT$3,IF(LEFT(A196)="S",Bonuses!$BU$3,IF(LEFT(A196)="R",Bonuses!$BV$3,0))))))+P196</f>
        <v>0</v>
      </c>
      <c r="L196" s="80">
        <v>1</v>
      </c>
      <c r="M196" s="75">
        <v>30</v>
      </c>
      <c r="N196" s="75">
        <v>3</v>
      </c>
      <c r="O196" s="380"/>
      <c r="P196" s="380"/>
      <c r="Q196" s="86">
        <f>MAX((MAX(Stats!$E$2,Ranking!$C$13)-15)*5,0)</f>
        <v>0</v>
      </c>
      <c r="R196" s="83">
        <v>300</v>
      </c>
    </row>
    <row r="197" spans="1:18" x14ac:dyDescent="0.2">
      <c r="A197" s="95" t="s">
        <v>248</v>
      </c>
      <c r="B197" s="79" t="s">
        <v>1023</v>
      </c>
      <c r="C197" s="126">
        <v>0</v>
      </c>
      <c r="D197" s="125">
        <f>M197+O197+(K197*N197)+IF(OR(LEFT(A197)="G",LEFT(A197)="S"),Stats!$E$3-15+Bonuses!$BO$3,IF(OR(LEFT(A197)="Q",LEFT(A197)="R"),Bonuses!$BQ$3,Bonuses!$BP$3))</f>
        <v>40</v>
      </c>
      <c r="E197" s="125">
        <f t="shared" si="17"/>
        <v>6</v>
      </c>
      <c r="F197" s="125">
        <f t="shared" ref="F197:F227" si="19">D197*0.05</f>
        <v>2</v>
      </c>
      <c r="G197" s="80" t="s">
        <v>679</v>
      </c>
      <c r="H197" s="85" t="str">
        <f>15*(1+K197)&amp;" Mins"</f>
        <v>15 Mins</v>
      </c>
      <c r="I197" s="94" t="str">
        <f>CONCATENATE("&lt; ",(K197+1)," Cubic Feet &amp; ",(K197+1)," lbs")</f>
        <v>&lt; 1 Cubic Feet &amp; 1 lbs</v>
      </c>
      <c r="J197" s="394">
        <v>250</v>
      </c>
      <c r="K197" s="80">
        <f>IF(ISERROR(C197*1),-1,C197+IF(LEFT(A197)="T",Bonuses!$BR$3,IF(LEFT(A197)="G",Bonuses!$BS$3,IF(LEFT(A197)="Q",Bonuses!$BT$3,IF(LEFT(A197)="S",Bonuses!$BU$3,IF(LEFT(A197)="R",Bonuses!$BV$3,0))))))+P197</f>
        <v>0</v>
      </c>
      <c r="L197" s="80">
        <v>1</v>
      </c>
      <c r="M197" s="75">
        <v>40</v>
      </c>
      <c r="N197" s="75">
        <v>3</v>
      </c>
      <c r="O197" s="380"/>
      <c r="P197" s="380"/>
      <c r="Q197" s="86">
        <f>MAX((MAX(Stats!$E$2,Ranking!$C$13)-15)*5,0)</f>
        <v>0</v>
      </c>
      <c r="R197" s="83">
        <v>300</v>
      </c>
    </row>
    <row r="198" spans="1:18" x14ac:dyDescent="0.2">
      <c r="A198" s="95" t="s">
        <v>249</v>
      </c>
      <c r="B198" s="79" t="s">
        <v>1024</v>
      </c>
      <c r="C198" s="126">
        <v>0</v>
      </c>
      <c r="D198" s="125">
        <f>M198+O198+(K198*N198)+IF(OR(LEFT(A198)="G",LEFT(A198)="S"),Stats!$E$3-15+Bonuses!$BO$3,IF(OR(LEFT(A198)="Q",LEFT(A198)="R"),Bonuses!$BQ$3,Bonuses!$BP$3))</f>
        <v>20</v>
      </c>
      <c r="E198" s="125">
        <f t="shared" si="17"/>
        <v>3</v>
      </c>
      <c r="F198" s="125">
        <f t="shared" si="19"/>
        <v>1</v>
      </c>
      <c r="G198" s="84" t="str">
        <f>30+(10*K198)&amp;" Feet"</f>
        <v>30 Feet</v>
      </c>
      <c r="H198" s="85" t="str">
        <f>5*(1+K198)&amp;" Mins"</f>
        <v>5 Mins</v>
      </c>
      <c r="I198" s="94" t="str">
        <f>CONCATENATE((K198+1)*2," Cubic Feet")</f>
        <v>2 Cubic Feet</v>
      </c>
      <c r="J198" s="394">
        <v>250</v>
      </c>
      <c r="K198" s="80">
        <f>IF(ISERROR(C198*1),-1,C198+IF(LEFT(A198)="T",Bonuses!$BR$3,IF(LEFT(A198)="G",Bonuses!$BS$3,IF(LEFT(A198)="Q",Bonuses!$BT$3,IF(LEFT(A198)="S",Bonuses!$BU$3,IF(LEFT(A198)="R",Bonuses!$BV$3,0))))))+P198</f>
        <v>0</v>
      </c>
      <c r="L198" s="80">
        <v>1</v>
      </c>
      <c r="M198" s="75">
        <v>20</v>
      </c>
      <c r="N198" s="75">
        <v>3</v>
      </c>
      <c r="O198" s="380"/>
      <c r="P198" s="380"/>
      <c r="Q198" s="86">
        <f>MAX((MAX(Stats!$E$2,Ranking!$C$13)-15)*5,0)</f>
        <v>0</v>
      </c>
      <c r="R198" s="83">
        <v>300</v>
      </c>
    </row>
    <row r="199" spans="1:18" x14ac:dyDescent="0.2">
      <c r="A199" s="95" t="s">
        <v>250</v>
      </c>
      <c r="B199" s="79" t="s">
        <v>1025</v>
      </c>
      <c r="C199" s="126">
        <v>0</v>
      </c>
      <c r="D199" s="125">
        <f>M199+O199+(K199*N199)+IF(OR(LEFT(A199)="G",LEFT(A199)="S"),Stats!$E$3-15+Bonuses!$BO$3,IF(OR(LEFT(A199)="Q",LEFT(A199)="R"),Bonuses!$BQ$3,Bonuses!$BP$3))</f>
        <v>40</v>
      </c>
      <c r="E199" s="125">
        <f t="shared" si="17"/>
        <v>6</v>
      </c>
      <c r="F199" s="125">
        <f t="shared" si="19"/>
        <v>2</v>
      </c>
      <c r="G199" s="84" t="str">
        <f>5+K199&amp;" Feet"</f>
        <v>5 Feet</v>
      </c>
      <c r="H199" s="151" t="str">
        <f>IF(K199&lt;20,4+(K199*K199)&amp;" Days","Indefinite")</f>
        <v>4 Days</v>
      </c>
      <c r="I199" s="94" t="str">
        <f>CONCATENATE("Entity &lt; ",(K199+1)*100," lbs. Objects &lt; ",K199+1," lbs.")</f>
        <v>Entity &lt; 100 lbs. Objects &lt; 1 lbs.</v>
      </c>
      <c r="J199" s="394">
        <v>100</v>
      </c>
      <c r="K199" s="80">
        <f>IF(ISERROR(C199*1),-1,C199+IF(LEFT(A199)="T",Bonuses!$BR$3,IF(LEFT(A199)="G",Bonuses!$BS$3,IF(LEFT(A199)="Q",Bonuses!$BT$3,IF(LEFT(A199)="S",Bonuses!$BU$3,IF(LEFT(A199)="R",Bonuses!$BV$3,0))))))+P199</f>
        <v>0</v>
      </c>
      <c r="L199" s="80">
        <v>1</v>
      </c>
      <c r="M199" s="75">
        <v>40</v>
      </c>
      <c r="N199" s="75">
        <v>3</v>
      </c>
      <c r="O199" s="380"/>
      <c r="P199" s="380"/>
      <c r="Q199" s="86">
        <f>MAX((MAX(Stats!$E$2,Ranking!$C$13)-15)*5,0)</f>
        <v>0</v>
      </c>
      <c r="R199" s="83">
        <v>300</v>
      </c>
    </row>
    <row r="200" spans="1:18" x14ac:dyDescent="0.2">
      <c r="A200" s="95" t="s">
        <v>794</v>
      </c>
      <c r="B200" s="79" t="s">
        <v>1026</v>
      </c>
      <c r="C200" s="126">
        <v>0</v>
      </c>
      <c r="D200" s="125">
        <f>M200+O200+(K200*N200)+IF(OR(LEFT(A200)="G",LEFT(A200)="S"),Stats!$E$3-15+Bonuses!$BO$3,IF(OR(LEFT(A200)="Q",LEFT(A200)="R"),Bonuses!$BQ$3,Bonuses!$BP$3))</f>
        <v>30</v>
      </c>
      <c r="E200" s="125">
        <f t="shared" si="17"/>
        <v>4.5</v>
      </c>
      <c r="F200" s="125">
        <f t="shared" si="19"/>
        <v>1.5</v>
      </c>
      <c r="G200" s="84" t="str">
        <f>10+(5*K200)&amp;" Feet"</f>
        <v>10 Feet</v>
      </c>
      <c r="H200" s="85" t="str">
        <f>10*(1+K200)&amp;" Mins"</f>
        <v>10 Mins</v>
      </c>
      <c r="I200" s="94" t="str">
        <f>CONCATENATE(K200+1," Adjacent 1 Foot Cubes")</f>
        <v>1 Adjacent 1 Foot Cubes</v>
      </c>
      <c r="J200" s="394">
        <v>175</v>
      </c>
      <c r="K200" s="80">
        <f>IF(ISERROR(C200*1),-1,C200+IF(LEFT(A200)="T",Bonuses!$BR$3,IF(LEFT(A200)="G",Bonuses!$BS$3,IF(LEFT(A200)="Q",Bonuses!$BT$3,IF(LEFT(A200)="S",Bonuses!$BU$3,IF(LEFT(A200)="R",Bonuses!$BV$3,0))))))+P200</f>
        <v>0</v>
      </c>
      <c r="L200" s="80">
        <v>1</v>
      </c>
      <c r="M200" s="75">
        <v>30</v>
      </c>
      <c r="N200" s="75">
        <v>3</v>
      </c>
      <c r="O200" s="380"/>
      <c r="P200" s="380"/>
      <c r="Q200" s="86">
        <f>MAX((MAX(Stats!$E$2,Ranking!$C$13)-15)*5,0)</f>
        <v>0</v>
      </c>
      <c r="R200" s="83">
        <v>300</v>
      </c>
    </row>
    <row r="201" spans="1:18" x14ac:dyDescent="0.2">
      <c r="A201" s="96" t="s">
        <v>268</v>
      </c>
      <c r="B201" s="79" t="s">
        <v>795</v>
      </c>
      <c r="C201" s="126">
        <v>0</v>
      </c>
      <c r="D201" s="125">
        <f>M201+O201+(K201*N201)+IF(OR(LEFT(A201)="G",LEFT(A201)="S"),Stats!$E$3-15+Bonuses!$BO$3,IF(OR(LEFT(A201)="Q",LEFT(A201)="R"),Bonuses!$BQ$3,Bonuses!$BP$3))</f>
        <v>40</v>
      </c>
      <c r="E201" s="125">
        <f t="shared" si="17"/>
        <v>6</v>
      </c>
      <c r="F201" s="125">
        <f t="shared" si="19"/>
        <v>2</v>
      </c>
      <c r="G201" s="84" t="str">
        <f>25+(25*K201)&amp;" Feet"</f>
        <v>25 Feet</v>
      </c>
      <c r="H201" s="88" t="str">
        <f>"D+"&amp;5+K201&amp;" Mins"</f>
        <v>D+5 Mins</v>
      </c>
      <c r="I201" s="94" t="str">
        <f>CONCATENATE("+",30 + (K201*3)," to MR vs Generals")</f>
        <v>+30 to MR vs Generals</v>
      </c>
      <c r="J201" s="394">
        <v>100</v>
      </c>
      <c r="K201" s="80">
        <f>IF(ISERROR(C201*1),-1,C201+IF(LEFT(A201)="T",Bonuses!$BR$3,IF(LEFT(A201)="G",Bonuses!$BS$3,IF(LEFT(A201)="Q",Bonuses!$BT$3,IF(LEFT(A201)="S",Bonuses!$BU$3,IF(LEFT(A201)="R",Bonuses!$BV$3,0))))))+P201</f>
        <v>0</v>
      </c>
      <c r="L201" s="80">
        <v>1</v>
      </c>
      <c r="M201" s="75">
        <v>40</v>
      </c>
      <c r="N201" s="75">
        <v>3</v>
      </c>
      <c r="O201" s="380"/>
      <c r="P201" s="380"/>
      <c r="Q201" s="86">
        <f>MAX((MAX(Stats!$E$2,Ranking!$C$13)-15)*5,0)</f>
        <v>0</v>
      </c>
      <c r="R201" s="83">
        <v>300</v>
      </c>
    </row>
    <row r="202" spans="1:18" x14ac:dyDescent="0.2">
      <c r="A202" s="96" t="s">
        <v>268</v>
      </c>
      <c r="B202" s="79" t="s">
        <v>797</v>
      </c>
      <c r="C202" s="126">
        <v>0</v>
      </c>
      <c r="D202" s="125">
        <f>M202+O202+(K202*N202)+IF(OR(LEFT(A202)="G",LEFT(A202)="S"),Stats!$E$3-15+Bonuses!$BO$3,IF(OR(LEFT(A202)="Q",LEFT(A202)="R"),Bonuses!$BQ$3,Bonuses!$BP$3))</f>
        <v>40</v>
      </c>
      <c r="E202" s="125">
        <f t="shared" si="17"/>
        <v>6</v>
      </c>
      <c r="F202" s="125">
        <f t="shared" si="19"/>
        <v>2</v>
      </c>
      <c r="G202" s="84" t="str">
        <f>25+(25*K202)&amp;" Feet"</f>
        <v>25 Feet</v>
      </c>
      <c r="H202" s="88" t="str">
        <f>"D+"&amp;5+K202&amp;" Mins"</f>
        <v>D+5 Mins</v>
      </c>
      <c r="I202" s="94" t="str">
        <f>CONCATENATE("+",30 + (K202*3)," to MR vs Specials")</f>
        <v>+30 to MR vs Specials</v>
      </c>
      <c r="J202" s="394">
        <v>200</v>
      </c>
      <c r="K202" s="80">
        <f>IF(ISERROR(C202*1),-1,C202+IF(LEFT(A202)="T",Bonuses!$BR$3,IF(LEFT(A202)="G",Bonuses!$BS$3,IF(LEFT(A202)="Q",Bonuses!$BT$3,IF(LEFT(A202)="S",Bonuses!$BU$3,IF(LEFT(A202)="R",Bonuses!$BV$3,0))))))+P202</f>
        <v>0</v>
      </c>
      <c r="L202" s="80">
        <v>1</v>
      </c>
      <c r="M202" s="75">
        <v>40</v>
      </c>
      <c r="N202" s="75">
        <v>3</v>
      </c>
      <c r="O202" s="380"/>
      <c r="P202" s="380"/>
      <c r="Q202" s="86">
        <f>MAX((MAX(Stats!$E$2,Ranking!$C$13)-15)*5,0)</f>
        <v>0</v>
      </c>
      <c r="R202" s="83">
        <v>300</v>
      </c>
    </row>
    <row r="203" spans="1:18" x14ac:dyDescent="0.2">
      <c r="A203" s="95" t="s">
        <v>251</v>
      </c>
      <c r="B203" s="79" t="s">
        <v>1027</v>
      </c>
      <c r="C203" s="126">
        <v>0</v>
      </c>
      <c r="D203" s="125">
        <f>M203+O203+(K203*N203)+IF(OR(LEFT(A203)="G",LEFT(A203)="S"),Stats!$E$3-15+Bonuses!$BO$3,IF(OR(LEFT(A203)="Q",LEFT(A203)="R"),Bonuses!$BQ$3,Bonuses!$BP$3))</f>
        <v>40</v>
      </c>
      <c r="E203" s="125">
        <f t="shared" si="17"/>
        <v>6</v>
      </c>
      <c r="F203" s="125">
        <f t="shared" si="19"/>
        <v>2</v>
      </c>
      <c r="G203" s="84" t="str">
        <f>100+(100*K203)&amp;" Miles"</f>
        <v>100 Miles</v>
      </c>
      <c r="H203" s="151" t="s">
        <v>1053</v>
      </c>
      <c r="I203" s="94" t="str">
        <f>CONCATENATE("Interplanar Cost: ",10000-K203*500," sp.")</f>
        <v>Interplanar Cost: 10000 sp.</v>
      </c>
      <c r="J203" s="394">
        <v>300</v>
      </c>
      <c r="K203" s="80">
        <f>IF(ISERROR(C203*1),-1,C203+IF(LEFT(A203)="T",Bonuses!$BR$3,IF(LEFT(A203)="G",Bonuses!$BS$3,IF(LEFT(A203)="Q",Bonuses!$BT$3,IF(LEFT(A203)="S",Bonuses!$BU$3,IF(LEFT(A203)="R",Bonuses!$BV$3,0))))))+P203</f>
        <v>0</v>
      </c>
      <c r="L203" s="80">
        <v>7</v>
      </c>
      <c r="M203" s="75">
        <v>40</v>
      </c>
      <c r="N203" s="75">
        <v>3</v>
      </c>
      <c r="O203" s="380"/>
      <c r="P203" s="380"/>
      <c r="Q203" s="86">
        <f>MAX((MAX(Stats!$E$2,Ranking!$C$13)-15)*5,0)</f>
        <v>0</v>
      </c>
      <c r="R203" s="83">
        <v>300</v>
      </c>
    </row>
    <row r="204" spans="1:18" x14ac:dyDescent="0.2">
      <c r="A204" s="95" t="s">
        <v>298</v>
      </c>
      <c r="B204" s="79" t="s">
        <v>1028</v>
      </c>
      <c r="C204" s="126">
        <v>0</v>
      </c>
      <c r="D204" s="125">
        <f>M204+O204+(K204*N204)+IF(OR(LEFT(A204)="G",LEFT(A204)="S"),Stats!$E$3-15+Bonuses!$BO$3,IF(OR(LEFT(A204)="Q",LEFT(A204)="R"),Bonuses!$BQ$3,Bonuses!$BP$3))</f>
        <v>55</v>
      </c>
      <c r="E204" s="125">
        <f t="shared" si="17"/>
        <v>8.25</v>
      </c>
      <c r="F204" s="125">
        <f t="shared" si="19"/>
        <v>2.75</v>
      </c>
      <c r="H204" s="151" t="s">
        <v>1053</v>
      </c>
      <c r="I204" s="94" t="s">
        <v>1917</v>
      </c>
      <c r="J204" s="394">
        <v>200</v>
      </c>
      <c r="K204" s="80">
        <f>IF(ISERROR(C204*1),-1,C204+IF(LEFT(A204)="T",Bonuses!$BR$3,IF(LEFT(A204)="G",Bonuses!$BS$3,IF(LEFT(A204)="Q",Bonuses!$BT$3,IF(LEFT(A204)="S",Bonuses!$BU$3,IF(LEFT(A204)="R",Bonuses!$BV$3,0))))))+P204</f>
        <v>0</v>
      </c>
      <c r="L204" s="80">
        <v>7</v>
      </c>
      <c r="M204" s="75">
        <v>55</v>
      </c>
      <c r="N204" s="75">
        <v>3</v>
      </c>
      <c r="O204" s="380"/>
      <c r="P204" s="380"/>
      <c r="Q204" s="86">
        <f>MAX((MAX(Stats!$E$2,Ranking!$C$13)-15)*5,0)</f>
        <v>0</v>
      </c>
      <c r="R204" s="83">
        <v>300</v>
      </c>
    </row>
    <row r="205" spans="1:18" x14ac:dyDescent="0.2">
      <c r="A205" s="95" t="s">
        <v>299</v>
      </c>
      <c r="B205" s="79" t="s">
        <v>1029</v>
      </c>
      <c r="C205" s="126">
        <v>0</v>
      </c>
      <c r="D205" s="125">
        <f>M205+O205+(K205*N205)+IF(OR(LEFT(A205)="G",LEFT(A205)="S"),Stats!$E$3-15+Bonuses!$BO$3,IF(OR(LEFT(A205)="Q",LEFT(A205)="R"),Bonuses!$BQ$3,Bonuses!$BP$3))</f>
        <v>10</v>
      </c>
      <c r="E205" s="125">
        <f t="shared" si="17"/>
        <v>1.5</v>
      </c>
      <c r="F205" s="125">
        <f t="shared" si="19"/>
        <v>0.5</v>
      </c>
      <c r="H205" s="85" t="str">
        <f>3*(1+K205)&amp;" Hours"</f>
        <v>3 Hours</v>
      </c>
      <c r="I205" s="94" t="s">
        <v>1048</v>
      </c>
      <c r="J205" s="394">
        <v>300</v>
      </c>
      <c r="K205" s="80">
        <f>IF(ISERROR(C205*1),-1,C205+IF(LEFT(A205)="T",Bonuses!$BR$3,IF(LEFT(A205)="G",Bonuses!$BS$3,IF(LEFT(A205)="Q",Bonuses!$BT$3,IF(LEFT(A205)="S",Bonuses!$BU$3,IF(LEFT(A205)="R",Bonuses!$BV$3,0))))))+P205</f>
        <v>0</v>
      </c>
      <c r="L205" s="80">
        <v>7</v>
      </c>
      <c r="M205" s="75">
        <v>10</v>
      </c>
      <c r="N205" s="75">
        <v>3</v>
      </c>
      <c r="O205" s="380"/>
      <c r="P205" s="380"/>
      <c r="Q205" s="86">
        <f>MAX((MAX(Stats!$E$2,Ranking!$C$13)-15)*5,0)</f>
        <v>0</v>
      </c>
      <c r="R205" s="83">
        <v>300</v>
      </c>
    </row>
    <row r="206" spans="1:18" x14ac:dyDescent="0.2">
      <c r="A206" s="95" t="s">
        <v>300</v>
      </c>
      <c r="B206" s="79" t="s">
        <v>1030</v>
      </c>
      <c r="C206" s="126">
        <v>0</v>
      </c>
      <c r="D206" s="125">
        <f>M206+O206+(K206*N206)+IF(OR(LEFT(A206)="G",LEFT(A206)="S"),Stats!$E$3-15+Bonuses!$BO$3,IF(OR(LEFT(A206)="Q",LEFT(A206)="R"),Bonuses!$BQ$3,Bonuses!$BP$3))</f>
        <v>40</v>
      </c>
      <c r="E206" s="125">
        <f t="shared" si="17"/>
        <v>6</v>
      </c>
      <c r="F206" s="125">
        <f t="shared" si="19"/>
        <v>2</v>
      </c>
      <c r="H206" s="85" t="str">
        <f>2*(1+K206)&amp;" Hours"</f>
        <v>2 Hours</v>
      </c>
      <c r="I206" s="94" t="s">
        <v>1049</v>
      </c>
      <c r="J206" s="394">
        <v>250</v>
      </c>
      <c r="K206" s="80">
        <f>IF(ISERROR(C206*1),-1,C206+IF(LEFT(A206)="T",Bonuses!$BR$3,IF(LEFT(A206)="G",Bonuses!$BS$3,IF(LEFT(A206)="Q",Bonuses!$BT$3,IF(LEFT(A206)="S",Bonuses!$BU$3,IF(LEFT(A206)="R",Bonuses!$BV$3,0))))))+P206</f>
        <v>0</v>
      </c>
      <c r="L206" s="80">
        <v>7</v>
      </c>
      <c r="M206" s="75">
        <v>40</v>
      </c>
      <c r="N206" s="75">
        <v>3</v>
      </c>
      <c r="O206" s="380"/>
      <c r="P206" s="380"/>
      <c r="Q206" s="86">
        <f>MAX((MAX(Stats!$E$2,Ranking!$C$13)-15)*5,0)</f>
        <v>0</v>
      </c>
      <c r="R206" s="83">
        <v>300</v>
      </c>
    </row>
    <row r="207" spans="1:18" x14ac:dyDescent="0.2">
      <c r="A207" s="95" t="s">
        <v>994</v>
      </c>
      <c r="B207" s="79" t="s">
        <v>252</v>
      </c>
      <c r="C207" s="126">
        <v>0</v>
      </c>
      <c r="D207" s="125">
        <f>M207+O207+(K207*N207)+IF(OR(LEFT(A207)="G",LEFT(A207)="S"),Stats!$E$3-15+Bonuses!$BO$3,IF(OR(LEFT(A207)="Q",LEFT(A207)="R"),Bonuses!$BQ$3,Bonuses!$BP$3))</f>
        <v>30</v>
      </c>
      <c r="E207" s="125">
        <f t="shared" si="17"/>
        <v>4.5</v>
      </c>
      <c r="F207" s="125">
        <f t="shared" si="19"/>
        <v>1.5</v>
      </c>
      <c r="G207" s="81"/>
      <c r="H207" s="88" t="str">
        <f>4+(4*K207)&amp;" Hours"</f>
        <v>4 Hours</v>
      </c>
      <c r="I207" s="90" t="str">
        <f>CONCATENATE("+ ",K207," MR. +",TRUNC(K207/5)," MA.")</f>
        <v>+ 0 MR. +0 MA.</v>
      </c>
      <c r="J207" s="394">
        <v>200</v>
      </c>
      <c r="K207" s="80">
        <f>IF(ISERROR(C207*1),-1,C207+IF(LEFT(A207)="T",Bonuses!$BR$3,IF(LEFT(A207)="G",Bonuses!$BS$3,IF(LEFT(A207)="Q",Bonuses!$BT$3,IF(LEFT(A207)="S",Bonuses!$BU$3,IF(LEFT(A207)="R",Bonuses!$BV$3,0))))))+P207</f>
        <v>0</v>
      </c>
      <c r="L207" s="80">
        <v>7</v>
      </c>
      <c r="M207" s="75">
        <f>Stats!$E$3+Stats!$F$3</f>
        <v>30</v>
      </c>
      <c r="N207" s="75">
        <v>3</v>
      </c>
      <c r="O207" s="380"/>
      <c r="P207" s="380"/>
      <c r="Q207" s="86">
        <f>MAX((MAX(Stats!$E$2,Ranking!$C$13)-15)*5,0)</f>
        <v>0</v>
      </c>
      <c r="R207" s="83">
        <v>300</v>
      </c>
    </row>
    <row r="208" spans="1:18" x14ac:dyDescent="0.2">
      <c r="A208" s="95" t="s">
        <v>253</v>
      </c>
      <c r="B208" s="79" t="s">
        <v>1031</v>
      </c>
      <c r="C208" s="126" t="s">
        <v>283</v>
      </c>
      <c r="D208" s="125">
        <f>M208+O208+(K208*N208)+IF(OR(LEFT(A208)="G",LEFT(A208)="S"),Stats!$E$3-15+Bonuses!$BO$3,IF(OR(LEFT(A208)="Q",LEFT(A208)="R"),Bonuses!$BQ$3,Bonuses!$BP$3))</f>
        <v>12</v>
      </c>
      <c r="E208" s="125">
        <f t="shared" si="17"/>
        <v>1.7999999999999998</v>
      </c>
      <c r="F208" s="125">
        <f t="shared" si="19"/>
        <v>0.60000000000000009</v>
      </c>
      <c r="G208" s="84" t="str">
        <f>5+K208&amp;" Feet"</f>
        <v>4 Feet</v>
      </c>
      <c r="H208" s="85" t="str">
        <f>20*(1+K208)&amp;" Mins"</f>
        <v>0 Mins</v>
      </c>
      <c r="I208" s="94" t="str">
        <f>CONCATENATE(IF(K208&lt;11,"5' (1)",IF(K208&lt;16,"10' (3)","15' (7)"))," Diameter (Hexes)")</f>
        <v>5' (1) Diameter (Hexes)</v>
      </c>
      <c r="J208" s="394">
        <v>450</v>
      </c>
      <c r="K208" s="80">
        <f>IF(ISERROR(C208*1),-1,C208+IF(LEFT(A208)="T",Bonuses!$BR$3,IF(LEFT(A208)="G",Bonuses!$BS$3,IF(LEFT(A208)="Q",Bonuses!$BT$3,IF(LEFT(A208)="S",Bonuses!$BU$3,IF(LEFT(A208)="R",Bonuses!$BV$3,0))))))+P208</f>
        <v>-1</v>
      </c>
      <c r="L208" s="80">
        <v>1</v>
      </c>
      <c r="M208" s="75">
        <v>15</v>
      </c>
      <c r="N208" s="75">
        <v>3</v>
      </c>
      <c r="O208" s="380"/>
      <c r="P208" s="380"/>
      <c r="R208" s="83">
        <v>30000</v>
      </c>
    </row>
    <row r="209" spans="1:18" x14ac:dyDescent="0.2">
      <c r="A209" s="95" t="s">
        <v>254</v>
      </c>
      <c r="B209" s="79" t="s">
        <v>1538</v>
      </c>
      <c r="C209" s="126" t="s">
        <v>283</v>
      </c>
      <c r="D209" s="125">
        <f>M209+O209+(K209*N209)+IF(OR(LEFT(A209)="G",LEFT(A209)="S"),Stats!$E$3-15+Bonuses!$BO$3,IF(OR(LEFT(A209)="Q",LEFT(A209)="R"),Bonuses!$BQ$3,Bonuses!$BP$3))</f>
        <v>17</v>
      </c>
      <c r="E209" s="125">
        <f t="shared" si="17"/>
        <v>2.5499999999999998</v>
      </c>
      <c r="F209" s="125">
        <f t="shared" si="19"/>
        <v>0.85000000000000009</v>
      </c>
      <c r="G209" s="84" t="str">
        <f>15+(15*K209)&amp;" Feet"</f>
        <v>0 Feet</v>
      </c>
      <c r="H209" s="151" t="s">
        <v>240</v>
      </c>
      <c r="I209" s="94" t="str">
        <f>CONCATENATE(2 + (K209*2)," Cu Ft of Non-Magical Object.")</f>
        <v>0 Cu Ft of Non-Magical Object.</v>
      </c>
      <c r="J209" s="394">
        <v>300</v>
      </c>
      <c r="K209" s="80">
        <f>IF(ISERROR(C209*1),-1,C209+IF(LEFT(A209)="T",Bonuses!$BR$3,IF(LEFT(A209)="G",Bonuses!$BS$3,IF(LEFT(A209)="Q",Bonuses!$BT$3,IF(LEFT(A209)="S",Bonuses!$BU$3,IF(LEFT(A209)="R",Bonuses!$BV$3,0))))))+P209</f>
        <v>-1</v>
      </c>
      <c r="L209" s="80">
        <v>1</v>
      </c>
      <c r="M209" s="75">
        <v>20</v>
      </c>
      <c r="N209" s="75">
        <v>3</v>
      </c>
      <c r="O209" s="380"/>
      <c r="P209" s="380"/>
      <c r="R209" s="83">
        <v>15000</v>
      </c>
    </row>
    <row r="210" spans="1:18" x14ac:dyDescent="0.2">
      <c r="A210" s="95" t="s">
        <v>255</v>
      </c>
      <c r="B210" s="79" t="s">
        <v>1032</v>
      </c>
      <c r="C210" s="126" t="s">
        <v>283</v>
      </c>
      <c r="D210" s="125">
        <f>M210+O210+(K210*N210)+IF(OR(LEFT(A210)="G",LEFT(A210)="S"),Stats!$E$3-15+Bonuses!$BO$3,IF(OR(LEFT(A210)="Q",LEFT(A210)="R"),Bonuses!$BQ$3,Bonuses!$BP$3))</f>
        <v>17</v>
      </c>
      <c r="E210" s="125">
        <f t="shared" si="17"/>
        <v>2.5499999999999998</v>
      </c>
      <c r="F210" s="125">
        <f t="shared" si="19"/>
        <v>0.85000000000000009</v>
      </c>
      <c r="G210" s="84" t="str">
        <f>40+(15*K210)&amp;" Feet"</f>
        <v>25 Feet</v>
      </c>
      <c r="H210" s="88" t="str">
        <f>30+(10*K210)&amp;" Secs"</f>
        <v>20 Secs</v>
      </c>
      <c r="I210" s="94" t="str">
        <f>CONCATENATE(20+K210*10," Sq Ft or ",1 + TRUNC(K210/2)," Hexes. 1xAG or Prone")</f>
        <v>10 Sq Ft or 1 Hexes. 1xAG or Prone</v>
      </c>
      <c r="J210" s="394">
        <v>300</v>
      </c>
      <c r="K210" s="80">
        <f>IF(ISERROR(C210*1),-1,C210+IF(LEFT(A210)="T",Bonuses!$BR$3,IF(LEFT(A210)="G",Bonuses!$BS$3,IF(LEFT(A210)="Q",Bonuses!$BT$3,IF(LEFT(A210)="S",Bonuses!$BU$3,IF(LEFT(A210)="R",Bonuses!$BV$3,0))))))+P210</f>
        <v>-1</v>
      </c>
      <c r="L210" s="80">
        <v>1</v>
      </c>
      <c r="M210" s="75">
        <v>20</v>
      </c>
      <c r="N210" s="75">
        <v>3</v>
      </c>
      <c r="O210" s="380"/>
      <c r="P210" s="380"/>
      <c r="R210" s="83">
        <v>5000</v>
      </c>
    </row>
    <row r="211" spans="1:18" x14ac:dyDescent="0.2">
      <c r="A211" s="95" t="s">
        <v>256</v>
      </c>
      <c r="B211" s="79" t="s">
        <v>1033</v>
      </c>
      <c r="C211" s="126" t="s">
        <v>283</v>
      </c>
      <c r="D211" s="125">
        <f>M211+O211+(K211*N211)+IF(OR(LEFT(A211)="G",LEFT(A211)="S"),Stats!$E$3-15+Bonuses!$BO$3,IF(OR(LEFT(A211)="Q",LEFT(A211)="R"),Bonuses!$BQ$3,Bonuses!$BP$3))</f>
        <v>27</v>
      </c>
      <c r="E211" s="125">
        <f t="shared" si="17"/>
        <v>4.05</v>
      </c>
      <c r="F211" s="125">
        <f t="shared" si="19"/>
        <v>1.35</v>
      </c>
      <c r="G211" s="84" t="str">
        <f>10+(5*K211)&amp;" Feet"</f>
        <v>5 Feet</v>
      </c>
      <c r="H211" s="85" t="str">
        <f>5*(1+K211)&amp;" Mins"</f>
        <v>0 Mins</v>
      </c>
      <c r="I211" s="94" t="str">
        <f>CONCATENATE("Forms in ",(20-K211)," Sec")</f>
        <v>Forms in 21 Sec</v>
      </c>
      <c r="J211" s="394">
        <v>200</v>
      </c>
      <c r="K211" s="80">
        <f>IF(ISERROR(C211*1),-1,C211+IF(LEFT(A211)="T",Bonuses!$BR$3,IF(LEFT(A211)="G",Bonuses!$BS$3,IF(LEFT(A211)="Q",Bonuses!$BT$3,IF(LEFT(A211)="S",Bonuses!$BU$3,IF(LEFT(A211)="R",Bonuses!$BV$3,0))))))+P211</f>
        <v>-1</v>
      </c>
      <c r="L211" s="80">
        <v>1</v>
      </c>
      <c r="M211" s="75">
        <v>30</v>
      </c>
      <c r="N211" s="75">
        <v>3</v>
      </c>
      <c r="O211" s="380"/>
      <c r="P211" s="380"/>
      <c r="R211" s="83">
        <v>20000</v>
      </c>
    </row>
    <row r="212" spans="1:18" x14ac:dyDescent="0.2">
      <c r="A212" s="95" t="s">
        <v>257</v>
      </c>
      <c r="B212" s="79" t="s">
        <v>1034</v>
      </c>
      <c r="C212" s="126" t="s">
        <v>283</v>
      </c>
      <c r="D212" s="125">
        <f>M212+O212+(K212*N212)+IF(OR(LEFT(A212)="G",LEFT(A212)="S"),Stats!$E$3-15+Bonuses!$BO$3,IF(OR(LEFT(A212)="Q",LEFT(A212)="R"),Bonuses!$BQ$3,Bonuses!$BP$3))</f>
        <v>-2</v>
      </c>
      <c r="E212" s="125">
        <f t="shared" si="17"/>
        <v>-0.3</v>
      </c>
      <c r="F212" s="125">
        <f t="shared" si="19"/>
        <v>-0.1</v>
      </c>
      <c r="G212" s="84" t="str">
        <f>10+(5*K212)&amp;" Feet"</f>
        <v>5 Feet</v>
      </c>
      <c r="H212" s="151" t="s">
        <v>240</v>
      </c>
      <c r="J212" s="394">
        <v>500</v>
      </c>
      <c r="K212" s="80">
        <f>IF(ISERROR(C212*1),-1,C212+IF(LEFT(A212)="T",Bonuses!$BR$3,IF(LEFT(A212)="G",Bonuses!$BS$3,IF(LEFT(A212)="Q",Bonuses!$BT$3,IF(LEFT(A212)="S",Bonuses!$BU$3,IF(LEFT(A212)="R",Bonuses!$BV$3,0))))))+P212</f>
        <v>-1</v>
      </c>
      <c r="L212" s="80">
        <v>1</v>
      </c>
      <c r="M212" s="75">
        <v>1</v>
      </c>
      <c r="N212" s="75">
        <v>3</v>
      </c>
      <c r="O212" s="380"/>
      <c r="P212" s="380"/>
    </row>
    <row r="213" spans="1:18" x14ac:dyDescent="0.2">
      <c r="A213" s="95" t="s">
        <v>258</v>
      </c>
      <c r="B213" s="79" t="s">
        <v>875</v>
      </c>
      <c r="C213" s="126" t="s">
        <v>283</v>
      </c>
      <c r="D213" s="125">
        <f>M213+O213+(K213*N213)+IF(OR(LEFT(A213)="G",LEFT(A213)="S"),Stats!$E$3-15+Bonuses!$BO$3,IF(OR(LEFT(A213)="Q",LEFT(A213)="R"),Bonuses!$BQ$3,Bonuses!$BP$3))</f>
        <v>17</v>
      </c>
      <c r="E213" s="125">
        <f t="shared" si="17"/>
        <v>2.5499999999999998</v>
      </c>
      <c r="F213" s="125">
        <f t="shared" si="19"/>
        <v>0.85000000000000009</v>
      </c>
      <c r="G213" s="80" t="s">
        <v>679</v>
      </c>
      <c r="H213" s="85" t="str">
        <f>"Con.&lt;"&amp;0.5+K213/2&amp;" Hrs"</f>
        <v>Con.&lt;0 Hrs</v>
      </c>
      <c r="I213" s="94" t="str">
        <f>CONCATENATE("Item:",(1+K213)*5," lbs. Spd:",(10+K213)*2," mph. Sup.:",(3+K213)*50," lbs.")</f>
        <v>Item:0 lbs. Spd:18 mph. Sup.:100 lbs.</v>
      </c>
      <c r="J213" s="394">
        <v>350</v>
      </c>
      <c r="K213" s="80">
        <f>IF(ISERROR(C213*1),-1,C213+IF(LEFT(A213)="T",Bonuses!$BR$3,IF(LEFT(A213)="G",Bonuses!$BS$3,IF(LEFT(A213)="Q",Bonuses!$BT$3,IF(LEFT(A213)="S",Bonuses!$BU$3,IF(LEFT(A213)="R",Bonuses!$BV$3,0))))))+P213</f>
        <v>-1</v>
      </c>
      <c r="L213" s="80">
        <v>1</v>
      </c>
      <c r="M213" s="75">
        <v>20</v>
      </c>
      <c r="N213" s="75">
        <v>3</v>
      </c>
      <c r="O213" s="380"/>
      <c r="P213" s="380"/>
      <c r="R213" s="83">
        <v>10000</v>
      </c>
    </row>
    <row r="214" spans="1:18" x14ac:dyDescent="0.2">
      <c r="A214" s="95" t="s">
        <v>259</v>
      </c>
      <c r="B214" s="79" t="s">
        <v>1035</v>
      </c>
      <c r="C214" s="126" t="s">
        <v>283</v>
      </c>
      <c r="D214" s="125">
        <f>M214+O214+(K214*N214)+IF(OR(LEFT(A214)="G",LEFT(A214)="S"),Stats!$E$3-15+Bonuses!$BO$3,IF(OR(LEFT(A214)="Q",LEFT(A214)="R"),Bonuses!$BQ$3,Bonuses!$BP$3))</f>
        <v>22</v>
      </c>
      <c r="E214" s="125">
        <f t="shared" si="17"/>
        <v>3.3</v>
      </c>
      <c r="F214" s="125">
        <f t="shared" si="19"/>
        <v>1.1000000000000001</v>
      </c>
      <c r="G214" s="80" t="s">
        <v>679</v>
      </c>
      <c r="H214" s="88" t="str">
        <f>(1+K214)&amp;" Days"</f>
        <v>0 Days</v>
      </c>
      <c r="I214" s="94" t="str">
        <f>CONCATENATE("Object &lt; ",(K214+5)," foot cube")</f>
        <v>Object &lt; 4 foot cube</v>
      </c>
      <c r="J214" s="394">
        <v>300</v>
      </c>
      <c r="K214" s="80">
        <f>IF(ISERROR(C214*1),-1,C214+IF(LEFT(A214)="T",Bonuses!$BR$3,IF(LEFT(A214)="G",Bonuses!$BS$3,IF(LEFT(A214)="Q",Bonuses!$BT$3,IF(LEFT(A214)="S",Bonuses!$BU$3,IF(LEFT(A214)="R",Bonuses!$BV$3,0))))))+P214</f>
        <v>-1</v>
      </c>
      <c r="L214" s="80">
        <v>1</v>
      </c>
      <c r="M214" s="75">
        <v>25</v>
      </c>
      <c r="N214" s="75">
        <v>3</v>
      </c>
      <c r="O214" s="380"/>
      <c r="P214" s="380"/>
      <c r="R214" s="83">
        <v>8000</v>
      </c>
    </row>
    <row r="215" spans="1:18" x14ac:dyDescent="0.2">
      <c r="A215" s="95" t="s">
        <v>260</v>
      </c>
      <c r="B215" s="79" t="s">
        <v>1036</v>
      </c>
      <c r="C215" s="126" t="s">
        <v>283</v>
      </c>
      <c r="D215" s="125">
        <f>M215+O215+(K215*N215)+IF(OR(LEFT(A215)="G",LEFT(A215)="S"),Stats!$E$3-15+Bonuses!$BO$3,IF(OR(LEFT(A215)="Q",LEFT(A215)="R"),Bonuses!$BQ$3,Bonuses!$BP$3))</f>
        <v>17</v>
      </c>
      <c r="E215" s="125">
        <f t="shared" si="17"/>
        <v>2.5499999999999998</v>
      </c>
      <c r="F215" s="125">
        <f t="shared" si="19"/>
        <v>0.85000000000000009</v>
      </c>
      <c r="G215" s="80" t="s">
        <v>616</v>
      </c>
      <c r="H215" s="85" t="str">
        <f>"Con.&lt;"&amp;1+K215&amp;" Hrs"</f>
        <v>Con.&lt;0 Hrs</v>
      </c>
      <c r="J215" s="394">
        <v>200</v>
      </c>
      <c r="K215" s="80">
        <f>IF(ISERROR(C215*1),-1,C215+IF(LEFT(A215)="T",Bonuses!$BR$3,IF(LEFT(A215)="G",Bonuses!$BS$3,IF(LEFT(A215)="Q",Bonuses!$BT$3,IF(LEFT(A215)="S",Bonuses!$BU$3,IF(LEFT(A215)="R",Bonuses!$BV$3,0))))))+P215</f>
        <v>-1</v>
      </c>
      <c r="L215" s="80">
        <v>1</v>
      </c>
      <c r="M215" s="75">
        <v>20</v>
      </c>
      <c r="N215" s="75">
        <v>3</v>
      </c>
      <c r="O215" s="380"/>
      <c r="P215" s="380"/>
      <c r="R215" s="83">
        <v>3000</v>
      </c>
    </row>
    <row r="216" spans="1:18" x14ac:dyDescent="0.2">
      <c r="A216" s="95" t="s">
        <v>261</v>
      </c>
      <c r="B216" s="79" t="s">
        <v>1037</v>
      </c>
      <c r="C216" s="126" t="s">
        <v>283</v>
      </c>
      <c r="D216" s="125">
        <f>M216+O216+(K216*N216)+IF(OR(LEFT(A216)="G",LEFT(A216)="S"),Stats!$E$3-15+Bonuses!$BO$3,IF(OR(LEFT(A216)="Q",LEFT(A216)="R"),Bonuses!$BQ$3,Bonuses!$BP$3))</f>
        <v>17</v>
      </c>
      <c r="E216" s="125">
        <f t="shared" si="17"/>
        <v>2.5499999999999998</v>
      </c>
      <c r="F216" s="125">
        <f t="shared" si="19"/>
        <v>0.85000000000000009</v>
      </c>
      <c r="G216" s="84" t="str">
        <f>2+(2*K216)&amp;" Feet"</f>
        <v>0 Feet</v>
      </c>
      <c r="H216" s="85" t="str">
        <f>0.5*(1+K216)&amp;" Mins"</f>
        <v>0 Mins</v>
      </c>
      <c r="I216" s="80" t="str">
        <f>(K216+1)*2&amp;" cu' non-living, maintain state."</f>
        <v>0 cu' non-living, maintain state.</v>
      </c>
      <c r="J216" s="394">
        <v>400</v>
      </c>
      <c r="K216" s="80">
        <f>IF(ISERROR(C216*1),-1,C216+IF(LEFT(A216)="T",Bonuses!$BR$3,IF(LEFT(A216)="G",Bonuses!$BS$3,IF(LEFT(A216)="Q",Bonuses!$BT$3,IF(LEFT(A216)="S",Bonuses!$BU$3,IF(LEFT(A216)="R",Bonuses!$BV$3,0))))))+P216</f>
        <v>-1</v>
      </c>
      <c r="L216" s="80">
        <v>1</v>
      </c>
      <c r="M216" s="75">
        <v>20</v>
      </c>
      <c r="N216" s="75">
        <v>3</v>
      </c>
      <c r="O216" s="380"/>
      <c r="P216" s="380"/>
      <c r="R216" s="83">
        <v>15000</v>
      </c>
    </row>
    <row r="217" spans="1:18" x14ac:dyDescent="0.2">
      <c r="A217" s="95" t="s">
        <v>262</v>
      </c>
      <c r="B217" s="79" t="s">
        <v>1038</v>
      </c>
      <c r="C217" s="126" t="s">
        <v>283</v>
      </c>
      <c r="D217" s="125">
        <f>M217+O217+(K217*N217)+IF(OR(LEFT(A217)="G",LEFT(A217)="S"),Stats!$E$3-15+Bonuses!$BO$3,IF(OR(LEFT(A217)="Q",LEFT(A217)="R"),Bonuses!$BQ$3,Bonuses!$BP$3))</f>
        <v>32</v>
      </c>
      <c r="E217" s="125">
        <f t="shared" si="17"/>
        <v>4.8</v>
      </c>
      <c r="F217" s="125">
        <f t="shared" si="19"/>
        <v>1.6</v>
      </c>
      <c r="G217" s="80" t="s">
        <v>631</v>
      </c>
      <c r="H217" s="85" t="str">
        <f>10*(1+K217)&amp;" Mins"</f>
        <v>0 Mins</v>
      </c>
      <c r="I217" s="80"/>
      <c r="J217" s="394">
        <v>250</v>
      </c>
      <c r="K217" s="80">
        <f>IF(ISERROR(C217*1),-1,C217+IF(LEFT(A217)="T",Bonuses!$BR$3,IF(LEFT(A217)="G",Bonuses!$BS$3,IF(LEFT(A217)="Q",Bonuses!$BT$3,IF(LEFT(A217)="S",Bonuses!$BU$3,IF(LEFT(A217)="R",Bonuses!$BV$3,0))))))+P217</f>
        <v>-1</v>
      </c>
      <c r="L217" s="80">
        <v>1</v>
      </c>
      <c r="M217" s="75">
        <v>35</v>
      </c>
      <c r="N217" s="75">
        <v>3</v>
      </c>
      <c r="O217" s="380"/>
      <c r="P217" s="380"/>
      <c r="R217" s="83">
        <v>8000</v>
      </c>
    </row>
    <row r="218" spans="1:18" x14ac:dyDescent="0.2">
      <c r="A218" s="95" t="s">
        <v>263</v>
      </c>
      <c r="B218" s="79" t="s">
        <v>1039</v>
      </c>
      <c r="C218" s="126" t="s">
        <v>283</v>
      </c>
      <c r="D218" s="125">
        <f>M218+O218+(K218*N218)+IF(OR(LEFT(A218)="G",LEFT(A218)="S"),Stats!$E$3-15+Bonuses!$BO$3,IF(OR(LEFT(A218)="Q",LEFT(A218)="R"),Bonuses!$BQ$3,Bonuses!$BP$3))</f>
        <v>27</v>
      </c>
      <c r="E218" s="125">
        <f t="shared" si="17"/>
        <v>4.05</v>
      </c>
      <c r="F218" s="125">
        <f t="shared" si="19"/>
        <v>1.35</v>
      </c>
      <c r="G218" s="84" t="str">
        <f>10+(10*K218)&amp;" Feet"</f>
        <v>0 Feet</v>
      </c>
      <c r="H218" s="151" t="s">
        <v>240</v>
      </c>
      <c r="I218" s="184" t="s">
        <v>1962</v>
      </c>
      <c r="J218" s="394">
        <v>250</v>
      </c>
      <c r="K218" s="80">
        <f>IF(ISERROR(C218*1),-1,C218+IF(LEFT(A218)="T",Bonuses!$BR$3,IF(LEFT(A218)="G",Bonuses!$BS$3,IF(LEFT(A218)="Q",Bonuses!$BT$3,IF(LEFT(A218)="S",Bonuses!$BU$3,IF(LEFT(A218)="R",Bonuses!$BV$3,0))))))+P218</f>
        <v>-1</v>
      </c>
      <c r="L218" s="80">
        <v>1</v>
      </c>
      <c r="M218" s="75">
        <v>30</v>
      </c>
      <c r="N218" s="75">
        <v>3</v>
      </c>
      <c r="O218" s="380"/>
      <c r="P218" s="380"/>
      <c r="R218" s="83">
        <v>8000</v>
      </c>
    </row>
    <row r="219" spans="1:18" x14ac:dyDescent="0.2">
      <c r="A219" s="95" t="s">
        <v>264</v>
      </c>
      <c r="B219" s="79" t="s">
        <v>1040</v>
      </c>
      <c r="C219" s="126" t="s">
        <v>283</v>
      </c>
      <c r="D219" s="125">
        <f>M219+O219+(K219*N219)+IF(OR(LEFT(A219)="G",LEFT(A219)="S"),Stats!$E$3-15+Bonuses!$BO$3,IF(OR(LEFT(A219)="Q",LEFT(A219)="R"),Bonuses!$BQ$3,Bonuses!$BP$3))</f>
        <v>17</v>
      </c>
      <c r="E219" s="125">
        <f t="shared" si="17"/>
        <v>2.5499999999999998</v>
      </c>
      <c r="F219" s="125">
        <f t="shared" si="19"/>
        <v>0.85000000000000009</v>
      </c>
      <c r="G219" s="84" t="str">
        <f>20+(10*K219)&amp;" Feet"</f>
        <v>10 Feet</v>
      </c>
      <c r="H219" s="85" t="str">
        <f>10*(1+K219)&amp;" Mins"</f>
        <v>0 Mins</v>
      </c>
      <c r="I219" s="94" t="str">
        <f>CONCATENATE("15.20Wl;10h.10dRg;15h.4dPr. +",K219)</f>
        <v>15.20Wl;10h.10dRg;15h.4dPr. +-1</v>
      </c>
      <c r="J219" s="394">
        <v>150</v>
      </c>
      <c r="K219" s="80">
        <f>IF(ISERROR(C219*1),-1,C219+IF(LEFT(A219)="T",Bonuses!$BR$3,IF(LEFT(A219)="G",Bonuses!$BS$3,IF(LEFT(A219)="Q",Bonuses!$BT$3,IF(LEFT(A219)="S",Bonuses!$BU$3,IF(LEFT(A219)="R",Bonuses!$BV$3,0))))))+P219</f>
        <v>-1</v>
      </c>
      <c r="L219" s="80">
        <v>1</v>
      </c>
      <c r="M219" s="75">
        <v>20</v>
      </c>
      <c r="N219" s="75">
        <v>3</v>
      </c>
      <c r="O219" s="380"/>
      <c r="P219" s="380"/>
      <c r="R219" s="83">
        <v>5000</v>
      </c>
    </row>
    <row r="220" spans="1:18" x14ac:dyDescent="0.2">
      <c r="A220" s="95" t="s">
        <v>700</v>
      </c>
      <c r="B220" s="79" t="s">
        <v>1041</v>
      </c>
      <c r="C220" s="126" t="s">
        <v>283</v>
      </c>
      <c r="D220" s="125">
        <f>M220+O220+(K220*N220)+IF(OR(LEFT(A220)="G",LEFT(A220)="S"),Stats!$E$3-15+Bonuses!$BO$3,IF(OR(LEFT(A220)="Q",LEFT(A220)="R"),Bonuses!$BQ$3,Bonuses!$BP$3))</f>
        <v>7</v>
      </c>
      <c r="E220" s="125">
        <f t="shared" si="17"/>
        <v>1.05</v>
      </c>
      <c r="F220" s="125">
        <f t="shared" si="19"/>
        <v>0.35000000000000003</v>
      </c>
      <c r="G220" s="80" t="s">
        <v>616</v>
      </c>
      <c r="H220" s="85" t="str">
        <f>10*(1+K220)&amp;" Secs"</f>
        <v>0 Secs</v>
      </c>
      <c r="J220" s="394">
        <v>450</v>
      </c>
      <c r="K220" s="80">
        <f>IF(ISERROR(C220*1),-1,C220+IF(LEFT(A220)="T",Bonuses!$BR$3,IF(LEFT(A220)="G",Bonuses!$BS$3,IF(LEFT(A220)="Q",Bonuses!$BT$3,IF(LEFT(A220)="S",Bonuses!$BU$3,IF(LEFT(A220)="R",Bonuses!$BV$3,0))))))+P220</f>
        <v>-1</v>
      </c>
      <c r="L220" s="80">
        <v>1</v>
      </c>
      <c r="M220" s="75">
        <v>10</v>
      </c>
      <c r="N220" s="75">
        <v>3</v>
      </c>
      <c r="O220" s="380"/>
      <c r="P220" s="380"/>
      <c r="R220" s="83">
        <v>20000</v>
      </c>
    </row>
    <row r="221" spans="1:18" x14ac:dyDescent="0.2">
      <c r="A221" s="95" t="s">
        <v>625</v>
      </c>
      <c r="B221" s="79" t="s">
        <v>1042</v>
      </c>
      <c r="C221" s="126" t="s">
        <v>283</v>
      </c>
      <c r="D221" s="125">
        <f>M221+O221+(K221*N221)+IF(OR(LEFT(A221)="G",LEFT(A221)="S"),Stats!$E$3-15+Bonuses!$BO$3,IF(OR(LEFT(A221)="Q",LEFT(A221)="R"),Bonuses!$BQ$3,Bonuses!$BP$3))</f>
        <v>16</v>
      </c>
      <c r="E221" s="125">
        <f t="shared" si="17"/>
        <v>2.4</v>
      </c>
      <c r="F221" s="125">
        <f t="shared" si="19"/>
        <v>0.8</v>
      </c>
      <c r="G221" s="80" t="s">
        <v>638</v>
      </c>
      <c r="H221" s="88" t="str">
        <f>(1+K221)&amp;" Days"</f>
        <v>0 Days</v>
      </c>
      <c r="I221" s="565" t="str">
        <f>"Cost G: "&amp;10000 - (K221*400)&amp;" S/R: "&amp;20000 - (K221*800)&amp;" sp."</f>
        <v>Cost G: 10400 S/R: 20800 sp.</v>
      </c>
      <c r="J221" s="394">
        <v>400</v>
      </c>
      <c r="K221" s="80">
        <f>IF(ISERROR(C221*1),-1,C221+IF(LEFT(A221)="T",Bonuses!$BR$3,IF(LEFT(A221)="G",Bonuses!$BS$3,IF(LEFT(A221)="Q",Bonuses!$BT$3,IF(LEFT(A221)="S",Bonuses!$BU$3,IF(LEFT(A221)="R",Bonuses!$BV$3,0))))))+P221</f>
        <v>-1</v>
      </c>
      <c r="L221" s="80">
        <v>7</v>
      </c>
      <c r="M221" s="75">
        <v>20</v>
      </c>
      <c r="N221" s="75">
        <v>4</v>
      </c>
      <c r="O221" s="380"/>
      <c r="P221" s="380"/>
    </row>
    <row r="222" spans="1:18" x14ac:dyDescent="0.2">
      <c r="A222" s="95" t="s">
        <v>627</v>
      </c>
      <c r="B222" s="79" t="s">
        <v>809</v>
      </c>
      <c r="C222" s="126" t="s">
        <v>283</v>
      </c>
      <c r="D222" s="125">
        <f>M222+O222+(K222*N222)+IF(OR(LEFT(A222)="G",LEFT(A222)="S"),Stats!$E$3-15+Bonuses!$BO$3,IF(OR(LEFT(A222)="Q",LEFT(A222)="R"),Bonuses!$BQ$3,Bonuses!$BP$3))</f>
        <v>12</v>
      </c>
      <c r="E222" s="125">
        <f t="shared" si="17"/>
        <v>1.7999999999999998</v>
      </c>
      <c r="F222" s="125">
        <f t="shared" si="19"/>
        <v>0.60000000000000009</v>
      </c>
      <c r="I222" s="565" t="str">
        <f>"Max rk for others: Spell Rk -"&amp;ROUND((20-K222)/2,0)</f>
        <v>Max rk for others: Spell Rk -11</v>
      </c>
      <c r="J222" s="394">
        <v>300</v>
      </c>
      <c r="K222" s="80">
        <f>IF(ISERROR(C222*1),-1,C222+IF(LEFT(A222)="T",Bonuses!$BR$3,IF(LEFT(A222)="G",Bonuses!$BS$3,IF(LEFT(A222)="Q",Bonuses!$BT$3,IF(LEFT(A222)="S",Bonuses!$BU$3,IF(LEFT(A222)="R",Bonuses!$BV$3,0))))))+P222</f>
        <v>-1</v>
      </c>
      <c r="L222" s="80">
        <v>7</v>
      </c>
      <c r="M222" s="75">
        <f>Stats!$E$3</f>
        <v>15</v>
      </c>
      <c r="N222" s="75">
        <v>3</v>
      </c>
      <c r="O222" s="380"/>
      <c r="P222" s="380"/>
      <c r="R222" s="83">
        <v>100000</v>
      </c>
    </row>
    <row r="223" spans="1:18" x14ac:dyDescent="0.2">
      <c r="A223" s="95" t="s">
        <v>629</v>
      </c>
      <c r="B223" s="79" t="s">
        <v>1043</v>
      </c>
      <c r="C223" s="126" t="s">
        <v>283</v>
      </c>
      <c r="D223" s="125">
        <f>M223+O223+(K223*N223)+IF(OR(LEFT(A223)="G",LEFT(A223)="S"),Stats!$E$3-15+Bonuses!$BO$3,IF(OR(LEFT(A223)="Q",LEFT(A223)="R"),Bonuses!$BQ$3,Bonuses!$BP$3))</f>
        <v>27</v>
      </c>
      <c r="E223" s="125">
        <f t="shared" si="17"/>
        <v>4.05</v>
      </c>
      <c r="F223" s="125">
        <f t="shared" si="19"/>
        <v>1.35</v>
      </c>
      <c r="I223" s="94" t="str">
        <f>CONCATENATE("Materials Cost: ",500 - (K223*25),"sp.")</f>
        <v>Materials Cost: 525sp.</v>
      </c>
      <c r="J223" s="394">
        <v>150</v>
      </c>
      <c r="K223" s="80">
        <f>IF(ISERROR(C223*1),-1,C223+IF(LEFT(A223)="T",Bonuses!$BR$3,IF(LEFT(A223)="G",Bonuses!$BS$3,IF(LEFT(A223)="Q",Bonuses!$BT$3,IF(LEFT(A223)="S",Bonuses!$BU$3,IF(LEFT(A223)="R",Bonuses!$BV$3,0))))))+P223</f>
        <v>-1</v>
      </c>
      <c r="L223" s="80">
        <v>7</v>
      </c>
      <c r="M223" s="75">
        <f>Stats!$E$3*2</f>
        <v>30</v>
      </c>
      <c r="N223" s="75">
        <v>3</v>
      </c>
      <c r="O223" s="380"/>
      <c r="P223" s="380"/>
      <c r="R223" s="83">
        <v>3000</v>
      </c>
    </row>
    <row r="224" spans="1:18" x14ac:dyDescent="0.2">
      <c r="A224" s="95" t="s">
        <v>632</v>
      </c>
      <c r="B224" s="79" t="s">
        <v>1044</v>
      </c>
      <c r="C224" s="126" t="s">
        <v>283</v>
      </c>
      <c r="D224" s="125">
        <f>M224+O224+(K224*N224)+IF(OR(LEFT(A224)="G",LEFT(A224)="S"),Stats!$E$3-15+Bonuses!$BO$3,IF(OR(LEFT(A224)="Q",LEFT(A224)="R"),Bonuses!$BQ$3,Bonuses!$BP$3))</f>
        <v>37</v>
      </c>
      <c r="E224" s="125">
        <f t="shared" si="17"/>
        <v>5.55</v>
      </c>
      <c r="F224" s="125">
        <f t="shared" si="19"/>
        <v>1.85</v>
      </c>
      <c r="G224" s="84" t="str">
        <f>5*(1+K224)&amp;" Feet"</f>
        <v>0 Feet</v>
      </c>
      <c r="H224" s="88" t="str">
        <f>(1+K224)&amp;" Days"</f>
        <v>0 Days</v>
      </c>
      <c r="I224" s="94" t="str">
        <f>CONCATENATE("&lt; ",(K224+1)*10," Cubic Feet &amp; ",(K224+1)*50," lbs")</f>
        <v>&lt; 0 Cubic Feet &amp; 0 lbs</v>
      </c>
      <c r="J224" s="394">
        <v>250</v>
      </c>
      <c r="K224" s="80">
        <f>IF(ISERROR(C224*1),-1,C224+IF(LEFT(A224)="T",Bonuses!$BR$3,IF(LEFT(A224)="G",Bonuses!$BS$3,IF(LEFT(A224)="Q",Bonuses!$BT$3,IF(LEFT(A224)="S",Bonuses!$BU$3,IF(LEFT(A224)="R",Bonuses!$BV$3,0))))))+P224</f>
        <v>-1</v>
      </c>
      <c r="L224" s="80">
        <v>7</v>
      </c>
      <c r="M224" s="75">
        <v>40</v>
      </c>
      <c r="N224" s="75">
        <v>3</v>
      </c>
      <c r="O224" s="380"/>
      <c r="P224" s="380"/>
      <c r="R224" s="83">
        <v>5000</v>
      </c>
    </row>
    <row r="225" spans="1:24" x14ac:dyDescent="0.2">
      <c r="A225" s="95" t="s">
        <v>634</v>
      </c>
      <c r="B225" s="79" t="s">
        <v>1045</v>
      </c>
      <c r="C225" s="126" t="s">
        <v>283</v>
      </c>
      <c r="D225" s="125">
        <f>M225+O225+(K225*N225)+IF(OR(LEFT(A225)="G",LEFT(A225)="S"),Stats!$E$3-15+Bonuses!$BO$3,IF(OR(LEFT(A225)="Q",LEFT(A225)="R"),Bonuses!$BQ$3,Bonuses!$BP$3))</f>
        <v>16</v>
      </c>
      <c r="E225" s="125">
        <f t="shared" si="17"/>
        <v>2.4</v>
      </c>
      <c r="F225" s="125">
        <f t="shared" si="19"/>
        <v>0.8</v>
      </c>
      <c r="H225" s="85" t="str">
        <f>6*(1+K225)&amp;" Hours"</f>
        <v>0 Hours</v>
      </c>
      <c r="I225" s="94" t="s">
        <v>1054</v>
      </c>
      <c r="J225" s="394">
        <v>350</v>
      </c>
      <c r="K225" s="80">
        <f>IF(ISERROR(C225*1),-1,C225+IF(LEFT(A225)="T",Bonuses!$BR$3,IF(LEFT(A225)="G",Bonuses!$BS$3,IF(LEFT(A225)="Q",Bonuses!$BT$3,IF(LEFT(A225)="S",Bonuses!$BU$3,IF(LEFT(A225)="R",Bonuses!$BV$3,0))))))+P225</f>
        <v>-1</v>
      </c>
      <c r="L225" s="80">
        <v>7</v>
      </c>
      <c r="M225" s="75">
        <v>20</v>
      </c>
      <c r="N225" s="75">
        <v>4</v>
      </c>
      <c r="O225" s="380"/>
      <c r="P225" s="380"/>
      <c r="R225" s="83">
        <v>60000</v>
      </c>
    </row>
    <row r="226" spans="1:24" x14ac:dyDescent="0.2">
      <c r="A226" s="95" t="s">
        <v>636</v>
      </c>
      <c r="B226" s="79" t="s">
        <v>1046</v>
      </c>
      <c r="C226" s="126" t="s">
        <v>283</v>
      </c>
      <c r="D226" s="125">
        <f>M226+O226+(K226*N226)+IF(OR(LEFT(A226)="G",LEFT(A226)="S"),Stats!$E$3-15+Bonuses!$BO$3,IF(OR(LEFT(A226)="Q",LEFT(A226)="R"),Bonuses!$BQ$3,Bonuses!$BP$3))</f>
        <v>16</v>
      </c>
      <c r="E226" s="125">
        <f t="shared" si="17"/>
        <v>2.4</v>
      </c>
      <c r="F226" s="125">
        <f t="shared" si="19"/>
        <v>0.8</v>
      </c>
      <c r="H226" s="85" t="str">
        <f>5*(1+K226)&amp;" Hours"</f>
        <v>0 Hours</v>
      </c>
      <c r="I226" s="94" t="s">
        <v>1050</v>
      </c>
      <c r="J226" s="394">
        <v>350</v>
      </c>
      <c r="K226" s="80">
        <f>IF(ISERROR(C226*1),-1,C226+IF(LEFT(A226)="T",Bonuses!$BR$3,IF(LEFT(A226)="G",Bonuses!$BS$3,IF(LEFT(A226)="Q",Bonuses!$BT$3,IF(LEFT(A226)="S",Bonuses!$BU$3,IF(LEFT(A226)="R",Bonuses!$BV$3,0))))))+P226</f>
        <v>-1</v>
      </c>
      <c r="L226" s="80">
        <v>7</v>
      </c>
      <c r="M226" s="75">
        <v>20</v>
      </c>
      <c r="N226" s="75">
        <v>4</v>
      </c>
      <c r="O226" s="380"/>
      <c r="P226" s="380"/>
      <c r="R226" s="83">
        <v>40000</v>
      </c>
    </row>
    <row r="227" spans="1:24" x14ac:dyDescent="0.2">
      <c r="A227" s="95" t="s">
        <v>639</v>
      </c>
      <c r="B227" s="79" t="s">
        <v>1047</v>
      </c>
      <c r="C227" s="126" t="s">
        <v>283</v>
      </c>
      <c r="D227" s="125">
        <f>M227+O227+(K227*N227)+IF(OR(LEFT(A227)="G",LEFT(A227)="S"),Stats!$E$3-15+Bonuses!$BO$3,IF(OR(LEFT(A227)="Q",LEFT(A227)="R"),Bonuses!$BQ$3,Bonuses!$BP$3))</f>
        <v>37</v>
      </c>
      <c r="E227" s="125">
        <f t="shared" si="17"/>
        <v>5.55</v>
      </c>
      <c r="F227" s="125">
        <f t="shared" si="19"/>
        <v>1.85</v>
      </c>
      <c r="H227" s="85" t="str">
        <f>4*(1+K227)&amp;" Hours"</f>
        <v>0 Hours</v>
      </c>
      <c r="I227" s="94" t="s">
        <v>1051</v>
      </c>
      <c r="J227" s="394">
        <v>250</v>
      </c>
      <c r="K227" s="80">
        <f>IF(ISERROR(C227*1),-1,C227+IF(LEFT(A227)="T",Bonuses!$BR$3,IF(LEFT(A227)="G",Bonuses!$BS$3,IF(LEFT(A227)="Q",Bonuses!$BT$3,IF(LEFT(A227)="S",Bonuses!$BU$3,IF(LEFT(A227)="R",Bonuses!$BV$3,0))))))+P227</f>
        <v>-1</v>
      </c>
      <c r="L227" s="80">
        <v>7</v>
      </c>
      <c r="M227" s="75">
        <v>40</v>
      </c>
      <c r="N227" s="75">
        <v>3</v>
      </c>
      <c r="O227" s="380"/>
      <c r="P227" s="380"/>
      <c r="R227" s="83">
        <v>25000</v>
      </c>
    </row>
    <row r="229" spans="1:24" ht="15" customHeight="1" x14ac:dyDescent="0.2">
      <c r="A229" s="73"/>
      <c r="B229" s="73" t="s">
        <v>1097</v>
      </c>
      <c r="C229" s="74" t="s">
        <v>149</v>
      </c>
      <c r="D229" s="97" t="s">
        <v>231</v>
      </c>
      <c r="E229" s="97" t="s">
        <v>265</v>
      </c>
      <c r="F229" s="97" t="s">
        <v>266</v>
      </c>
      <c r="G229" s="74" t="s">
        <v>2</v>
      </c>
      <c r="H229" s="74" t="s">
        <v>232</v>
      </c>
      <c r="I229" s="74" t="s">
        <v>234</v>
      </c>
      <c r="J229" s="393" t="s">
        <v>233</v>
      </c>
      <c r="K229" s="75" t="s">
        <v>149</v>
      </c>
      <c r="L229" s="75" t="s">
        <v>235</v>
      </c>
      <c r="M229" s="75" t="s">
        <v>236</v>
      </c>
      <c r="N229" s="76" t="s">
        <v>269</v>
      </c>
      <c r="O229" s="3" t="s">
        <v>169</v>
      </c>
      <c r="P229" s="3" t="s">
        <v>171</v>
      </c>
      <c r="Q229" s="77" t="s">
        <v>237</v>
      </c>
      <c r="R229" s="78" t="s">
        <v>238</v>
      </c>
      <c r="T229" s="2" t="s">
        <v>1374</v>
      </c>
      <c r="U229" s="424"/>
      <c r="V229" s="424"/>
      <c r="W229" s="424"/>
      <c r="X229" s="425" t="s">
        <v>1403</v>
      </c>
    </row>
    <row r="230" spans="1:24" ht="12.75" x14ac:dyDescent="0.2">
      <c r="A230" s="95" t="s">
        <v>239</v>
      </c>
      <c r="B230" s="79" t="s">
        <v>744</v>
      </c>
      <c r="C230" s="126">
        <v>0</v>
      </c>
      <c r="D230" s="125"/>
      <c r="E230" s="125">
        <f t="shared" ref="E230:E268" si="20">D230*0.15</f>
        <v>0</v>
      </c>
      <c r="F230" s="125">
        <f t="shared" ref="F230:F268" si="21">D230*0.05</f>
        <v>0</v>
      </c>
      <c r="I230" s="94" t="str">
        <f>"+"&amp;1+TRUNC(K230/4,0)&amp;" Temp/Wind Gauge "&amp;K230*2000&amp;"' Alt."</f>
        <v>+1 Temp/Wind Gauge 0' Alt.</v>
      </c>
      <c r="J230" s="394">
        <v>75</v>
      </c>
      <c r="K230" s="80">
        <f>IF(ISERROR(C230*1),-1,C230+IF(LEFT(A230)="T",Bonuses!$BR$3,IF(LEFT(A230)="G",Bonuses!$BS$3,IF(LEFT(A230)="Q",Bonuses!$BT$3,IF(LEFT(A230)="S",Bonuses!$BU$3,IF(LEFT(A230)="R",Bonuses!$BV$3,0))))))+P230</f>
        <v>0</v>
      </c>
      <c r="L230" s="80">
        <v>0</v>
      </c>
      <c r="O230" s="380"/>
      <c r="P230" s="380"/>
      <c r="T230" s="5">
        <v>-15</v>
      </c>
      <c r="U230" s="5"/>
      <c r="V230" s="5"/>
      <c r="W230" s="5"/>
      <c r="X230" s="5" t="s">
        <v>1413</v>
      </c>
    </row>
    <row r="231" spans="1:24" ht="12.75" x14ac:dyDescent="0.2">
      <c r="A231" s="95" t="s">
        <v>611</v>
      </c>
      <c r="B231" s="79" t="s">
        <v>745</v>
      </c>
      <c r="C231" s="126">
        <v>0</v>
      </c>
      <c r="D231" s="125">
        <f>M231+O231+(K231*N231)+IF(OR(LEFT(A231)="G",LEFT(A231)="S"),Stats!$E$3-15+Bonuses!$BO$3,IF(OR(LEFT(A231)="Q",LEFT(A231)="R"),Bonuses!$BQ$3,Bonuses!$BP$3))</f>
        <v>5</v>
      </c>
      <c r="E231" s="125">
        <f t="shared" si="20"/>
        <v>0.75</v>
      </c>
      <c r="F231" s="125">
        <f t="shared" si="21"/>
        <v>0.25</v>
      </c>
      <c r="G231" s="84" t="str">
        <f>10*(1+K231)&amp;" Feet"</f>
        <v>10 Feet</v>
      </c>
      <c r="I231" s="94" t="s">
        <v>1178</v>
      </c>
      <c r="J231" s="394">
        <v>100</v>
      </c>
      <c r="K231" s="80">
        <f>IF(ISERROR(C231*1),-1,C231+IF(LEFT(A231)="T",Bonuses!$BR$3,IF(LEFT(A231)="G",Bonuses!$BS$3,IF(LEFT(A231)="Q",Bonuses!$BT$3,IF(LEFT(A231)="S",Bonuses!$BU$3,IF(LEFT(A231)="R",Bonuses!$BV$3,0))))))+P231</f>
        <v>0</v>
      </c>
      <c r="L231" s="80">
        <v>0</v>
      </c>
      <c r="M231" s="75">
        <f>Stats!$I$3</f>
        <v>5</v>
      </c>
      <c r="N231" s="75">
        <v>3</v>
      </c>
      <c r="O231" s="380"/>
      <c r="P231" s="380"/>
      <c r="T231" s="5">
        <v>-5</v>
      </c>
      <c r="U231" s="5"/>
      <c r="V231" s="5"/>
      <c r="W231" s="5"/>
      <c r="X231" s="5" t="s">
        <v>1414</v>
      </c>
    </row>
    <row r="232" spans="1:24" ht="12.75" x14ac:dyDescent="0.2">
      <c r="A232" s="95" t="s">
        <v>746</v>
      </c>
      <c r="B232" s="79" t="s">
        <v>747</v>
      </c>
      <c r="C232" s="126">
        <v>0</v>
      </c>
      <c r="D232" s="125">
        <f>M232+O232+(K232*N232)+IF(OR(LEFT(A232)="G",LEFT(A232)="S"),Stats!$E$3-15+Bonuses!$BO$3,IF(OR(LEFT(A232)="Q",LEFT(A232)="R"),Bonuses!$BQ$3,Bonuses!$BP$3))</f>
        <v>30</v>
      </c>
      <c r="E232" s="125">
        <f t="shared" si="20"/>
        <v>4.5</v>
      </c>
      <c r="F232" s="125">
        <f t="shared" si="21"/>
        <v>1.5</v>
      </c>
      <c r="G232" s="84" t="s">
        <v>748</v>
      </c>
      <c r="H232" s="85" t="str">
        <f>ROUND(1/3*(3+K232),1)&amp;" Days"</f>
        <v>1 Days</v>
      </c>
      <c r="I232" s="94" t="str">
        <f>1+ROUND(K232/3,0)&amp;" days"</f>
        <v>1 days</v>
      </c>
      <c r="J232" s="394">
        <v>50</v>
      </c>
      <c r="K232" s="80">
        <f>IF(ISERROR(C232*1),-1,C232+IF(LEFT(A232)="T",Bonuses!$BR$3,IF(LEFT(A232)="G",Bonuses!$BS$3,IF(LEFT(A232)="Q",Bonuses!$BT$3,IF(LEFT(A232)="S",Bonuses!$BU$3,IF(LEFT(A232)="R",Bonuses!$BV$3,0))))))+P232</f>
        <v>0</v>
      </c>
      <c r="L232" s="80">
        <v>0</v>
      </c>
      <c r="M232" s="75">
        <v>30</v>
      </c>
      <c r="N232" s="75">
        <v>4</v>
      </c>
      <c r="O232" s="380"/>
      <c r="P232" s="380"/>
      <c r="T232" s="5">
        <v>5</v>
      </c>
      <c r="U232" s="5"/>
      <c r="V232" s="5"/>
      <c r="W232" s="5"/>
      <c r="X232" s="5" t="s">
        <v>1415</v>
      </c>
    </row>
    <row r="233" spans="1:24" ht="12.75" x14ac:dyDescent="0.2">
      <c r="A233" s="95" t="s">
        <v>241</v>
      </c>
      <c r="B233" s="79" t="s">
        <v>749</v>
      </c>
      <c r="C233" s="126">
        <v>0</v>
      </c>
      <c r="D233" s="125">
        <f>M233+O233+(K233*N233)+IF(OR(LEFT(A233)="G",LEFT(A233)="S"),Stats!$E$3-15+Bonuses!$BO$3,IF(OR(LEFT(A233)="Q",LEFT(A233)="R"),Bonuses!$BQ$3,Bonuses!$BP$3))</f>
        <v>50</v>
      </c>
      <c r="E233" s="125">
        <f t="shared" si="20"/>
        <v>7.5</v>
      </c>
      <c r="F233" s="125">
        <f t="shared" si="21"/>
        <v>2.5</v>
      </c>
      <c r="G233" s="84" t="str">
        <f>50*(1+K233)&amp;" Feet"</f>
        <v>50 Feet</v>
      </c>
      <c r="H233" s="85" t="str">
        <f>ROUND(1/4*(1+K233),2)&amp;" Hours"</f>
        <v>0.25 Hours</v>
      </c>
      <c r="I233" s="94" t="str">
        <f>"Calms "&amp;10+(10*K233)&amp;"' cubed"</f>
        <v>Calms 10' cubed</v>
      </c>
      <c r="J233" s="394">
        <v>100</v>
      </c>
      <c r="K233" s="80">
        <f>IF(ISERROR(C233*1),-1,C233+IF(LEFT(A233)="T",Bonuses!$BR$3,IF(LEFT(A233)="G",Bonuses!$BS$3,IF(LEFT(A233)="Q",Bonuses!$BT$3,IF(LEFT(A233)="S",Bonuses!$BU$3,IF(LEFT(A233)="R",Bonuses!$BV$3,0))))))+P233</f>
        <v>0</v>
      </c>
      <c r="L233" s="80">
        <v>1</v>
      </c>
      <c r="M233" s="75">
        <v>50</v>
      </c>
      <c r="N233" s="75">
        <v>3</v>
      </c>
      <c r="O233" s="380"/>
      <c r="P233" s="380"/>
      <c r="Q233" s="86">
        <f>MAX((MAX(Stats!$E$2,Ranking!$C$13)-15)*5,0)</f>
        <v>0</v>
      </c>
      <c r="R233" s="83">
        <v>300</v>
      </c>
      <c r="T233" s="5">
        <v>10</v>
      </c>
      <c r="U233" s="5"/>
      <c r="V233" s="5"/>
      <c r="W233" s="5"/>
      <c r="X233" s="5" t="s">
        <v>1416</v>
      </c>
    </row>
    <row r="234" spans="1:24" ht="12.75" x14ac:dyDescent="0.2">
      <c r="A234" s="95" t="s">
        <v>242</v>
      </c>
      <c r="B234" s="79" t="s">
        <v>750</v>
      </c>
      <c r="C234" s="126">
        <v>0</v>
      </c>
      <c r="D234" s="125">
        <f>M234+O234+(K234*N234)+IF(OR(LEFT(A234)="G",LEFT(A234)="S"),Stats!$E$3-15+Bonuses!$BO$3,IF(OR(LEFT(A234)="Q",LEFT(A234)="R"),Bonuses!$BQ$3,Bonuses!$BP$3))</f>
        <v>40</v>
      </c>
      <c r="E234" s="125">
        <f t="shared" si="20"/>
        <v>6</v>
      </c>
      <c r="F234" s="125">
        <f t="shared" si="21"/>
        <v>2</v>
      </c>
      <c r="G234" s="84" t="str">
        <f>10*(1+K234)&amp;" Feet"</f>
        <v>10 Feet</v>
      </c>
      <c r="H234" s="85" t="str">
        <f>ROUND(1/2*(1+K234),1)&amp;" Hours"</f>
        <v>0.5 Hours</v>
      </c>
      <c r="J234" s="394">
        <v>200</v>
      </c>
      <c r="K234" s="80">
        <f>IF(ISERROR(C234*1),-1,C234+IF(LEFT(A234)="T",Bonuses!$BR$3,IF(LEFT(A234)="G",Bonuses!$BS$3,IF(LEFT(A234)="Q",Bonuses!$BT$3,IF(LEFT(A234)="S",Bonuses!$BU$3,IF(LEFT(A234)="R",Bonuses!$BV$3,0))))))+P234</f>
        <v>0</v>
      </c>
      <c r="L234" s="80">
        <v>1</v>
      </c>
      <c r="M234" s="75">
        <v>40</v>
      </c>
      <c r="N234" s="75">
        <v>3</v>
      </c>
      <c r="O234" s="380"/>
      <c r="P234" s="380"/>
      <c r="Q234" s="86">
        <f>MAX((MAX(Stats!$E$2,Ranking!$C$13)-15)*5,0)</f>
        <v>0</v>
      </c>
      <c r="R234" s="83">
        <v>300</v>
      </c>
      <c r="T234" s="5">
        <v>10</v>
      </c>
      <c r="U234" s="5"/>
      <c r="V234" s="5"/>
      <c r="W234" s="5"/>
      <c r="X234" s="5" t="s">
        <v>1417</v>
      </c>
    </row>
    <row r="235" spans="1:24" ht="12.75" x14ac:dyDescent="0.2">
      <c r="A235" s="95" t="s">
        <v>243</v>
      </c>
      <c r="B235" s="79" t="s">
        <v>751</v>
      </c>
      <c r="C235" s="126">
        <v>0</v>
      </c>
      <c r="D235" s="125">
        <f>M235+O235+(K235*N235)+IF(OR(LEFT(A235)="G",LEFT(A235)="S"),Stats!$E$3-15+Bonuses!$BO$3,IF(OR(LEFT(A235)="Q",LEFT(A235)="R"),Bonuses!$BQ$3,Bonuses!$BP$3))</f>
        <v>30</v>
      </c>
      <c r="E235" s="125">
        <f t="shared" si="20"/>
        <v>4.5</v>
      </c>
      <c r="F235" s="125">
        <f t="shared" si="21"/>
        <v>1.5</v>
      </c>
      <c r="G235" s="84" t="str">
        <f>10*(1+K235)&amp;" Feet"</f>
        <v>10 Feet</v>
      </c>
      <c r="H235" s="85" t="str">
        <f>1*(1+K235)&amp;" Hours"</f>
        <v>1 Hours</v>
      </c>
      <c r="I235" s="94" t="str">
        <f>5+K235&amp;" mph wind"</f>
        <v>5 mph wind</v>
      </c>
      <c r="J235" s="394">
        <v>125</v>
      </c>
      <c r="K235" s="80">
        <f>IF(ISERROR(C235*1),-1,C235+IF(LEFT(A235)="T",Bonuses!$BR$3,IF(LEFT(A235)="G",Bonuses!$BS$3,IF(LEFT(A235)="Q",Bonuses!$BT$3,IF(LEFT(A235)="S",Bonuses!$BU$3,IF(LEFT(A235)="R",Bonuses!$BV$3,0))))))+P235</f>
        <v>0</v>
      </c>
      <c r="L235" s="80">
        <v>1</v>
      </c>
      <c r="M235" s="75">
        <v>30</v>
      </c>
      <c r="N235" s="75">
        <v>3</v>
      </c>
      <c r="O235" s="380"/>
      <c r="P235" s="380"/>
      <c r="Q235" s="86">
        <f>MAX((MAX(Stats!$E$2,Ranking!$C$13)-15)*5,0)</f>
        <v>0</v>
      </c>
      <c r="R235" s="83">
        <v>300</v>
      </c>
      <c r="T235" s="5">
        <v>20</v>
      </c>
      <c r="U235" s="5"/>
      <c r="V235" s="5"/>
      <c r="W235" s="5"/>
      <c r="X235" s="5" t="s">
        <v>1418</v>
      </c>
    </row>
    <row r="236" spans="1:24" ht="12.75" x14ac:dyDescent="0.2">
      <c r="A236" s="95" t="s">
        <v>245</v>
      </c>
      <c r="B236" s="79" t="s">
        <v>752</v>
      </c>
      <c r="C236" s="126">
        <v>0</v>
      </c>
      <c r="D236" s="125">
        <f>M236+O236+(K236*N236)+IF(OR(LEFT(A236)="G",LEFT(A236)="S"),Stats!$E$3-15+Bonuses!$BO$3,IF(OR(LEFT(A236)="Q",LEFT(A236)="R"),Bonuses!$BQ$3,Bonuses!$BP$3))</f>
        <v>20</v>
      </c>
      <c r="E236" s="125">
        <f t="shared" si="20"/>
        <v>3</v>
      </c>
      <c r="F236" s="125">
        <f t="shared" si="21"/>
        <v>1</v>
      </c>
      <c r="G236" s="84" t="str">
        <f>20*(1+K236)&amp;" Feet"</f>
        <v>20 Feet</v>
      </c>
      <c r="H236" s="85" t="str">
        <f>10*(1+K236)&amp;" Mins"</f>
        <v>10 Mins</v>
      </c>
      <c r="I236" s="94" t="str">
        <f>1000 + (K236*500)&amp;"'cu. Visibility "&amp;30-5*TRUNC(K236/4,0)&amp;"-30'"</f>
        <v>1000'cu. Visibility 30-30'</v>
      </c>
      <c r="J236" s="394">
        <v>100</v>
      </c>
      <c r="K236" s="80">
        <f>IF(ISERROR(C236*1),-1,C236+IF(LEFT(A236)="T",Bonuses!$BR$3,IF(LEFT(A236)="G",Bonuses!$BS$3,IF(LEFT(A236)="Q",Bonuses!$BT$3,IF(LEFT(A236)="S",Bonuses!$BU$3,IF(LEFT(A236)="R",Bonuses!$BV$3,0))))))+P236</f>
        <v>0</v>
      </c>
      <c r="L236" s="80">
        <v>1</v>
      </c>
      <c r="M236" s="75">
        <v>20</v>
      </c>
      <c r="N236" s="75">
        <v>3</v>
      </c>
      <c r="O236" s="380"/>
      <c r="P236" s="380"/>
      <c r="Q236" s="86">
        <f>MAX((MAX(Stats!$E$2,Ranking!$C$13)-15)*5,0)</f>
        <v>0</v>
      </c>
      <c r="R236" s="83">
        <v>300</v>
      </c>
      <c r="T236" s="5">
        <v>20</v>
      </c>
      <c r="U236" s="5"/>
      <c r="V236" s="5"/>
      <c r="W236" s="5"/>
      <c r="X236" s="5" t="s">
        <v>1419</v>
      </c>
    </row>
    <row r="237" spans="1:24" x14ac:dyDescent="0.2">
      <c r="A237" s="95" t="s">
        <v>246</v>
      </c>
      <c r="B237" s="79" t="s">
        <v>753</v>
      </c>
      <c r="C237" s="126">
        <v>0</v>
      </c>
      <c r="D237" s="125">
        <f>M237+O237+(K237*N237)+IF(OR(LEFT(A237)="G",LEFT(A237)="S"),Stats!$E$3-15+Bonuses!$BO$3,IF(OR(LEFT(A237)="Q",LEFT(A237)="R"),Bonuses!$BQ$3,Bonuses!$BP$3))</f>
        <v>50</v>
      </c>
      <c r="E237" s="125">
        <f t="shared" si="20"/>
        <v>7.5</v>
      </c>
      <c r="F237" s="125">
        <f t="shared" si="21"/>
        <v>2.5</v>
      </c>
      <c r="G237" s="84" t="str">
        <f>10*(1+K237)&amp;" Feet"</f>
        <v>10 Feet</v>
      </c>
      <c r="H237" s="85" t="str">
        <f>1*(1+K237)&amp;" Hours"</f>
        <v>1 Hours</v>
      </c>
      <c r="J237" s="394">
        <v>75</v>
      </c>
      <c r="K237" s="80">
        <f>IF(ISERROR(C237*1),-1,C237+IF(LEFT(A237)="T",Bonuses!$BR$3,IF(LEFT(A237)="G",Bonuses!$BS$3,IF(LEFT(A237)="Q",Bonuses!$BT$3,IF(LEFT(A237)="S",Bonuses!$BU$3,IF(LEFT(A237)="R",Bonuses!$BV$3,0))))))+P237</f>
        <v>0</v>
      </c>
      <c r="L237" s="80">
        <v>1</v>
      </c>
      <c r="M237" s="75">
        <v>50</v>
      </c>
      <c r="N237" s="75">
        <v>3</v>
      </c>
      <c r="O237" s="380"/>
      <c r="P237" s="380"/>
      <c r="Q237" s="86">
        <f>MAX((MAX(Stats!$E$2,Ranking!$C$13)-15)*5,0)</f>
        <v>0</v>
      </c>
      <c r="R237" s="83">
        <v>300</v>
      </c>
    </row>
    <row r="238" spans="1:24" x14ac:dyDescent="0.2">
      <c r="A238" s="95" t="s">
        <v>247</v>
      </c>
      <c r="B238" s="79" t="s">
        <v>754</v>
      </c>
      <c r="C238" s="126">
        <v>0</v>
      </c>
      <c r="D238" s="125">
        <f>M238+O238+(K238*N238)+IF(OR(LEFT(A238)="G",LEFT(A238)="S"),Stats!$E$3-15+Bonuses!$BO$3,IF(OR(LEFT(A238)="Q",LEFT(A238)="R"),Bonuses!$BQ$3,Bonuses!$BP$3))</f>
        <v>40</v>
      </c>
      <c r="E238" s="125">
        <f t="shared" si="20"/>
        <v>6</v>
      </c>
      <c r="F238" s="125">
        <f t="shared" si="21"/>
        <v>2</v>
      </c>
      <c r="G238" s="84" t="s">
        <v>755</v>
      </c>
      <c r="H238" s="85" t="str">
        <f>ROUND(1/2*(2+K238),1)&amp;" Hours"</f>
        <v>1 Hours</v>
      </c>
      <c r="I238" s="94" t="str">
        <f>"Storm arrives in (Dx3)"&amp;-K238&amp;" mins."</f>
        <v>Storm arrives in (Dx3)0 mins.</v>
      </c>
      <c r="J238" s="394">
        <v>200</v>
      </c>
      <c r="K238" s="80">
        <f>IF(ISERROR(C238*1),-1,C238+IF(LEFT(A238)="T",Bonuses!$BR$3,IF(LEFT(A238)="G",Bonuses!$BS$3,IF(LEFT(A238)="Q",Bonuses!$BT$3,IF(LEFT(A238)="S",Bonuses!$BU$3,IF(LEFT(A238)="R",Bonuses!$BV$3,0))))))+P238</f>
        <v>0</v>
      </c>
      <c r="L238" s="80">
        <v>1</v>
      </c>
      <c r="M238" s="75">
        <v>40</v>
      </c>
      <c r="N238" s="75">
        <v>3</v>
      </c>
      <c r="O238" s="380"/>
      <c r="P238" s="380"/>
      <c r="Q238" s="86">
        <f>MAX((MAX(Stats!$E$2,Ranking!$C$13)-15)*5,0)</f>
        <v>0</v>
      </c>
      <c r="R238" s="83">
        <v>300</v>
      </c>
    </row>
    <row r="239" spans="1:24" x14ac:dyDescent="0.2">
      <c r="A239" s="95" t="s">
        <v>248</v>
      </c>
      <c r="B239" s="79" t="s">
        <v>756</v>
      </c>
      <c r="C239" s="126">
        <v>0</v>
      </c>
      <c r="D239" s="125">
        <f>M239+O239+(K239*N239)+IF(OR(LEFT(A239)="G",LEFT(A239)="S"),Stats!$E$3-15+Bonuses!$BO$3,IF(OR(LEFT(A239)="Q",LEFT(A239)="R"),Bonuses!$BQ$3,Bonuses!$BP$3))</f>
        <v>30</v>
      </c>
      <c r="E239" s="125">
        <f t="shared" si="20"/>
        <v>4.5</v>
      </c>
      <c r="F239" s="125">
        <f t="shared" si="21"/>
        <v>1.5</v>
      </c>
      <c r="G239" s="84" t="s">
        <v>757</v>
      </c>
      <c r="H239" s="84" t="s">
        <v>240</v>
      </c>
      <c r="I239" s="94" t="str">
        <f>"Summon up to "&amp;MAX(1,K239)&amp;" avians"</f>
        <v>Summon up to 1 avians</v>
      </c>
      <c r="J239" s="394">
        <v>125</v>
      </c>
      <c r="K239" s="80">
        <f>IF(ISERROR(C239*1),-1,C239+IF(LEFT(A239)="T",Bonuses!$BR$3,IF(LEFT(A239)="G",Bonuses!$BS$3,IF(LEFT(A239)="Q",Bonuses!$BT$3,IF(LEFT(A239)="S",Bonuses!$BU$3,IF(LEFT(A239)="R",Bonuses!$BV$3,0))))))+P239</f>
        <v>0</v>
      </c>
      <c r="L239" s="80">
        <v>1</v>
      </c>
      <c r="M239" s="75">
        <v>30</v>
      </c>
      <c r="N239" s="75">
        <v>3</v>
      </c>
      <c r="O239" s="380"/>
      <c r="P239" s="380"/>
      <c r="Q239" s="86">
        <f>MAX((MAX(Stats!$E$2,Ranking!$C$13)-15)*5,0)</f>
        <v>0</v>
      </c>
      <c r="R239" s="83">
        <v>300</v>
      </c>
    </row>
    <row r="240" spans="1:24" x14ac:dyDescent="0.2">
      <c r="A240" s="95" t="s">
        <v>249</v>
      </c>
      <c r="B240" s="79" t="s">
        <v>758</v>
      </c>
      <c r="C240" s="126">
        <v>0</v>
      </c>
      <c r="D240" s="125">
        <f>M240+O240+(K240*N240)+IF(OR(LEFT(A240)="G",LEFT(A240)="S"),Stats!$E$3-15+Bonuses!$BO$3,IF(OR(LEFT(A240)="Q",LEFT(A240)="R"),Bonuses!$BQ$3,Bonuses!$BP$3))</f>
        <v>35</v>
      </c>
      <c r="E240" s="125">
        <f t="shared" si="20"/>
        <v>5.25</v>
      </c>
      <c r="F240" s="125">
        <f t="shared" si="21"/>
        <v>1.75</v>
      </c>
      <c r="G240" s="84" t="str">
        <f>10*(1+K240)&amp;" Feet"</f>
        <v>10 Feet</v>
      </c>
      <c r="H240" s="85" t="str">
        <f>ROUND(1/2*(1+K240),1)&amp;" Hours"</f>
        <v>0.5 Hours</v>
      </c>
      <c r="J240" s="394">
        <v>150</v>
      </c>
      <c r="K240" s="80">
        <f>IF(ISERROR(C240*1),-1,C240+IF(LEFT(A240)="T",Bonuses!$BR$3,IF(LEFT(A240)="G",Bonuses!$BS$3,IF(LEFT(A240)="Q",Bonuses!$BT$3,IF(LEFT(A240)="S",Bonuses!$BU$3,IF(LEFT(A240)="R",Bonuses!$BV$3,0))))))+P240</f>
        <v>0</v>
      </c>
      <c r="L240" s="80">
        <v>1</v>
      </c>
      <c r="M240" s="75">
        <v>35</v>
      </c>
      <c r="N240" s="75">
        <v>3</v>
      </c>
      <c r="O240" s="380"/>
      <c r="P240" s="380"/>
      <c r="Q240" s="86">
        <f>MAX((MAX(Stats!$E$2,Ranking!$C$13)-15)*5,0)</f>
        <v>0</v>
      </c>
      <c r="R240" s="83">
        <v>300</v>
      </c>
    </row>
    <row r="241" spans="1:19" x14ac:dyDescent="0.2">
      <c r="A241" s="95" t="s">
        <v>250</v>
      </c>
      <c r="B241" s="79" t="s">
        <v>759</v>
      </c>
      <c r="C241" s="126">
        <v>0</v>
      </c>
      <c r="D241" s="125">
        <f>M241+O241+(K241*N241)+IF(OR(LEFT(A241)="G",LEFT(A241)="S"),Stats!$E$3-15+Bonuses!$BO$3,IF(OR(LEFT(A241)="Q",LEFT(A241)="R"),Bonuses!$BQ$3,Bonuses!$BP$3))</f>
        <v>40</v>
      </c>
      <c r="E241" s="125">
        <f t="shared" si="20"/>
        <v>6</v>
      </c>
      <c r="F241" s="125">
        <f t="shared" si="21"/>
        <v>2</v>
      </c>
      <c r="G241" s="84" t="str">
        <f>50*(1+K241)&amp;" Feet"</f>
        <v>50 Feet</v>
      </c>
      <c r="H241" s="85" t="str">
        <f>"D+"&amp;K241&amp;" Hours"</f>
        <v>D+0 Hours</v>
      </c>
      <c r="I241" s="94" t="str">
        <f>"Builds over D"&amp;IF(K241&lt;6,"+","")&amp;5-K241&amp;" mins. D100+/-"&amp;2*K241</f>
        <v>Builds over D+5 mins. D100+/-0</v>
      </c>
      <c r="J241" s="394">
        <v>125</v>
      </c>
      <c r="K241" s="80">
        <f>IF(ISERROR(C241*1),-1,C241+IF(LEFT(A241)="T",Bonuses!$BR$3,IF(LEFT(A241)="G",Bonuses!$BS$3,IF(LEFT(A241)="Q",Bonuses!$BT$3,IF(LEFT(A241)="S",Bonuses!$BU$3,IF(LEFT(A241)="R",Bonuses!$BV$3,0))))))+P241</f>
        <v>0</v>
      </c>
      <c r="L241" s="80">
        <v>1</v>
      </c>
      <c r="M241" s="75">
        <v>40</v>
      </c>
      <c r="N241" s="75">
        <v>3</v>
      </c>
      <c r="O241" s="380"/>
      <c r="P241" s="380"/>
      <c r="Q241" s="86">
        <f>MAX((MAX(Stats!$E$2,Ranking!$C$13)-15)*5,0)</f>
        <v>0</v>
      </c>
      <c r="R241" s="83">
        <v>300</v>
      </c>
    </row>
    <row r="242" spans="1:19" x14ac:dyDescent="0.2">
      <c r="A242" s="96" t="s">
        <v>268</v>
      </c>
      <c r="B242" s="87" t="s">
        <v>642</v>
      </c>
      <c r="C242" s="126">
        <v>0</v>
      </c>
      <c r="D242" s="125">
        <f>M242+O242+(K242*N242)+IF(OR(LEFT(A242)="G",LEFT(A242)="S"),Stats!$E$3-15+Bonuses!$BO$3,IF(OR(LEFT(A242)="Q",LEFT(A242)="R"),Bonuses!$BQ$3,Bonuses!$BP$3))</f>
        <v>40</v>
      </c>
      <c r="E242" s="125">
        <f t="shared" si="20"/>
        <v>6</v>
      </c>
      <c r="F242" s="125">
        <f t="shared" si="21"/>
        <v>2</v>
      </c>
      <c r="G242" s="84" t="str">
        <f>25+(25*K242)&amp;" Feet"</f>
        <v>25 Feet</v>
      </c>
      <c r="H242" s="88" t="str">
        <f>"D+"&amp;5+K242&amp;" Mins"</f>
        <v>D+5 Mins</v>
      </c>
      <c r="I242" s="90" t="str">
        <f>CONCATENATE("+",30 + (K242*3)," to MR.")</f>
        <v>+30 to MR.</v>
      </c>
      <c r="J242" s="395">
        <v>100</v>
      </c>
      <c r="K242" s="80">
        <f>IF(ISERROR(C242*1),-1,C242+IF(LEFT(A242)="T",Bonuses!$BR$3,IF(LEFT(A242)="G",Bonuses!$BS$3,IF(LEFT(A242)="Q",Bonuses!$BT$3,IF(LEFT(A242)="S",Bonuses!$BU$3,IF(LEFT(A242)="R",Bonuses!$BV$3,0))))))+P242</f>
        <v>0</v>
      </c>
      <c r="L242" s="80">
        <v>1</v>
      </c>
      <c r="M242" s="89">
        <v>40</v>
      </c>
      <c r="N242" s="75">
        <v>3</v>
      </c>
      <c r="O242" s="380"/>
      <c r="P242" s="380"/>
      <c r="Q242" s="86">
        <f>MAX((MAX(Stats!$E$2,Ranking!$C$13)-15)*5,0)</f>
        <v>0</v>
      </c>
      <c r="R242" s="83">
        <v>300</v>
      </c>
    </row>
    <row r="243" spans="1:19" x14ac:dyDescent="0.2">
      <c r="A243" s="96" t="s">
        <v>268</v>
      </c>
      <c r="B243" s="87" t="s">
        <v>643</v>
      </c>
      <c r="C243" s="126">
        <v>0</v>
      </c>
      <c r="D243" s="125">
        <f>M243+O243+(K243*N243)+IF(OR(LEFT(A243)="G",LEFT(A243)="S"),Stats!$E$3-15+Bonuses!$BO$3,IF(OR(LEFT(A243)="Q",LEFT(A243)="R"),Bonuses!$BQ$3,Bonuses!$BP$3))</f>
        <v>40</v>
      </c>
      <c r="E243" s="125">
        <f t="shared" si="20"/>
        <v>6</v>
      </c>
      <c r="F243" s="125">
        <f t="shared" si="21"/>
        <v>2</v>
      </c>
      <c r="G243" s="84" t="str">
        <f>25+(25*K243)&amp;" Feet"</f>
        <v>25 Feet</v>
      </c>
      <c r="H243" s="88" t="str">
        <f>"D+"&amp;5+K243&amp;" Mins"</f>
        <v>D+5 Mins</v>
      </c>
      <c r="I243" s="90" t="str">
        <f>CONCATENATE("+",30 + (K243*3)," to MR.")</f>
        <v>+30 to MR.</v>
      </c>
      <c r="J243" s="395">
        <v>200</v>
      </c>
      <c r="K243" s="80">
        <f>IF(ISERROR(C243*1),-1,C243+IF(LEFT(A243)="T",Bonuses!$BR$3,IF(LEFT(A243)="G",Bonuses!$BS$3,IF(LEFT(A243)="Q",Bonuses!$BT$3,IF(LEFT(A243)="S",Bonuses!$BU$3,IF(LEFT(A243)="R",Bonuses!$BV$3,0))))))+P243</f>
        <v>0</v>
      </c>
      <c r="L243" s="80">
        <v>1</v>
      </c>
      <c r="M243" s="89">
        <v>40</v>
      </c>
      <c r="N243" s="75">
        <v>3</v>
      </c>
      <c r="O243" s="380"/>
      <c r="P243" s="380"/>
      <c r="Q243" s="86">
        <f>MAX((MAX(Stats!$E$2,Ranking!$C$13)-15)*5,0)</f>
        <v>0</v>
      </c>
      <c r="R243" s="83">
        <v>300</v>
      </c>
    </row>
    <row r="244" spans="1:19" x14ac:dyDescent="0.2">
      <c r="A244" s="95" t="s">
        <v>251</v>
      </c>
      <c r="B244" s="79" t="s">
        <v>760</v>
      </c>
      <c r="C244" s="126">
        <v>0</v>
      </c>
      <c r="D244" s="125">
        <f>M244+O244+(K244*N244)+IF(OR(LEFT(A244)="G",LEFT(A244)="S"),Stats!$E$3-15+Bonuses!$BO$3,IF(OR(LEFT(A244)="Q",LEFT(A244)="R"),Bonuses!$BQ$3,Bonuses!$BP$3))</f>
        <v>30</v>
      </c>
      <c r="E244" s="125">
        <f t="shared" si="20"/>
        <v>4.5</v>
      </c>
      <c r="F244" s="125">
        <f t="shared" si="21"/>
        <v>1.5</v>
      </c>
      <c r="G244" s="84" t="str">
        <f>400*(1+K244)&amp;" Feet"</f>
        <v>400 Feet</v>
      </c>
      <c r="H244" s="85" t="str">
        <f>1*(1+K244)&amp;" Hours"</f>
        <v>1 Hours</v>
      </c>
      <c r="J244" s="394">
        <v>150</v>
      </c>
      <c r="K244" s="80">
        <f>IF(ISERROR(C244*1),-1,C244+IF(LEFT(A244)="T",Bonuses!$BR$3,IF(LEFT(A244)="G",Bonuses!$BS$3,IF(LEFT(A244)="Q",Bonuses!$BT$3,IF(LEFT(A244)="S",Bonuses!$BU$3,IF(LEFT(A244)="R",Bonuses!$BV$3,0))))))+P244</f>
        <v>0</v>
      </c>
      <c r="L244" s="80">
        <v>7</v>
      </c>
      <c r="M244" s="75">
        <f>Stats!$E$3*2</f>
        <v>30</v>
      </c>
      <c r="N244" s="75">
        <v>3</v>
      </c>
      <c r="O244" s="380"/>
      <c r="P244" s="380"/>
      <c r="Q244" s="86">
        <f>MAX((MAX(Stats!$E$2,Ranking!$C$13)-15)*5,0)</f>
        <v>0</v>
      </c>
      <c r="R244" s="83">
        <v>300</v>
      </c>
    </row>
    <row r="245" spans="1:19" s="92" customFormat="1" x14ac:dyDescent="0.2">
      <c r="A245" s="96" t="s">
        <v>267</v>
      </c>
      <c r="B245" s="87" t="s">
        <v>252</v>
      </c>
      <c r="C245" s="126">
        <v>0</v>
      </c>
      <c r="D245" s="125">
        <f>M245+O245+(K245*N245)+IF(OR(LEFT(A245)="G",LEFT(A245)="S"),Stats!$E$3-15+Bonuses!$BO$3,IF(OR(LEFT(A245)="Q",LEFT(A245)="R"),Bonuses!$BQ$3,Bonuses!$BP$3))</f>
        <v>30</v>
      </c>
      <c r="E245" s="125">
        <f t="shared" si="20"/>
        <v>4.5</v>
      </c>
      <c r="F245" s="125">
        <f>D245*0.05</f>
        <v>1.5</v>
      </c>
      <c r="G245" s="81"/>
      <c r="H245" s="88" t="str">
        <f>4+(4*K245)&amp;" Hours"</f>
        <v>4 Hours</v>
      </c>
      <c r="I245" s="90" t="str">
        <f>CONCATENATE("+ ",K245," MR. +",TRUNC(K245/5)," MA.")</f>
        <v>+ 0 MR. +0 MA.</v>
      </c>
      <c r="J245" s="395">
        <v>200</v>
      </c>
      <c r="K245" s="80">
        <f>IF(ISERROR(C245*1),-1,C245+IF(LEFT(A245)="T",Bonuses!$BR$3,IF(LEFT(A245)="G",Bonuses!$BS$3,IF(LEFT(A245)="Q",Bonuses!$BT$3,IF(LEFT(A245)="S",Bonuses!$BU$3,IF(LEFT(A245)="R",Bonuses!$BV$3,0))))))+P245</f>
        <v>0</v>
      </c>
      <c r="L245" s="84">
        <v>7</v>
      </c>
      <c r="M245" s="75">
        <f>Stats!$E$3+Stats!$F$3</f>
        <v>30</v>
      </c>
      <c r="N245" s="75">
        <v>3</v>
      </c>
      <c r="O245" s="380"/>
      <c r="P245" s="380"/>
      <c r="Q245" s="86">
        <f>MAX((MAX(Stats!$E$2,Ranking!$C$13)-15)*5,0)</f>
        <v>0</v>
      </c>
      <c r="R245" s="91">
        <v>300</v>
      </c>
      <c r="S245" s="84"/>
    </row>
    <row r="246" spans="1:19" x14ac:dyDescent="0.2">
      <c r="A246" s="95" t="s">
        <v>253</v>
      </c>
      <c r="B246" s="79" t="s">
        <v>761</v>
      </c>
      <c r="C246" s="126" t="s">
        <v>283</v>
      </c>
      <c r="D246" s="125">
        <f>M246+O246+(K246*N246)+IF(OR(LEFT(A246)="G",LEFT(A246)="S"),Stats!$E$3-15+Bonuses!$BO$3,IF(OR(LEFT(A246)="Q",LEFT(A246)="R"),Bonuses!$BQ$3,Bonuses!$BP$3))</f>
        <v>27</v>
      </c>
      <c r="E246" s="125">
        <f t="shared" si="20"/>
        <v>4.05</v>
      </c>
      <c r="F246" s="125">
        <f t="shared" si="21"/>
        <v>1.35</v>
      </c>
      <c r="G246" s="84" t="str">
        <f>10*(1+K246)&amp;" Feet"</f>
        <v>0 Feet</v>
      </c>
      <c r="H246" s="84" t="s">
        <v>240</v>
      </c>
      <c r="I246" s="94" t="str">
        <f>"&lt;="&amp;100+K246*20&amp;" lbs, "&amp;10+TRUNC(K246/3,0)*5&amp;"' x "&amp;1+K246&amp;"'h D-5+"&amp;TRUNC(K246/3,0)&amp;" 1xPS+AG"</f>
        <v>&lt;=80 lbs, 10' x 0'h D-5+0 1xPS+AG</v>
      </c>
      <c r="J246" s="394">
        <v>200</v>
      </c>
      <c r="K246" s="80">
        <f>IF(ISERROR(C246*1),-1,C246+IF(LEFT(A246)="T",Bonuses!$BR$3,IF(LEFT(A246)="G",Bonuses!$BS$3,IF(LEFT(A246)="Q",Bonuses!$BT$3,IF(LEFT(A246)="S",Bonuses!$BU$3,IF(LEFT(A246)="R",Bonuses!$BV$3,0))))))+P246</f>
        <v>-1</v>
      </c>
      <c r="L246" s="80">
        <v>1</v>
      </c>
      <c r="M246" s="75">
        <v>30</v>
      </c>
      <c r="N246" s="75">
        <v>3</v>
      </c>
      <c r="O246" s="380"/>
      <c r="P246" s="380"/>
      <c r="R246" s="83">
        <v>4000</v>
      </c>
    </row>
    <row r="247" spans="1:19" x14ac:dyDescent="0.2">
      <c r="A247" s="95" t="s">
        <v>254</v>
      </c>
      <c r="B247" s="79" t="s">
        <v>762</v>
      </c>
      <c r="C247" s="126" t="s">
        <v>283</v>
      </c>
      <c r="D247" s="125">
        <f>M247+O247+(K247*N247)+IF(OR(LEFT(A247)="G",LEFT(A247)="S"),Stats!$E$3-15+Bonuses!$BO$3,IF(OR(LEFT(A247)="Q",LEFT(A247)="R"),Bonuses!$BQ$3,Bonuses!$BP$3))</f>
        <v>32</v>
      </c>
      <c r="E247" s="125">
        <f t="shared" si="20"/>
        <v>4.8</v>
      </c>
      <c r="F247" s="125">
        <f t="shared" si="21"/>
        <v>1.6</v>
      </c>
      <c r="G247" s="84" t="s">
        <v>638</v>
      </c>
      <c r="H247" s="85" t="str">
        <f>ROUND(1/3*(1+K247),1)&amp;" Hours"</f>
        <v>0 Hours</v>
      </c>
      <c r="I247" s="94" t="str">
        <f>2+TRUNC(K247/2,0)&amp;" arrows +"&amp;2+K247&amp;"% SC"&amp;IF(K247&gt;15," Magical","")</f>
        <v>2 arrows +1% SC</v>
      </c>
      <c r="J247" s="394">
        <v>200</v>
      </c>
      <c r="K247" s="80">
        <f>IF(ISERROR(C247*1),-1,C247+IF(LEFT(A247)="T",Bonuses!$BR$3,IF(LEFT(A247)="G",Bonuses!$BS$3,IF(LEFT(A247)="Q",Bonuses!$BT$3,IF(LEFT(A247)="S",Bonuses!$BU$3,IF(LEFT(A247)="R",Bonuses!$BV$3,0))))))+P247</f>
        <v>-1</v>
      </c>
      <c r="L247" s="80">
        <v>1</v>
      </c>
      <c r="M247" s="75">
        <v>35</v>
      </c>
      <c r="N247" s="75">
        <v>3</v>
      </c>
      <c r="O247" s="380"/>
      <c r="P247" s="380"/>
      <c r="R247" s="83">
        <v>1500</v>
      </c>
    </row>
    <row r="248" spans="1:19" x14ac:dyDescent="0.2">
      <c r="A248" s="95" t="s">
        <v>255</v>
      </c>
      <c r="B248" s="79" t="s">
        <v>763</v>
      </c>
      <c r="C248" s="126" t="s">
        <v>283</v>
      </c>
      <c r="D248" s="125">
        <f>M248+O248+(K248*N248)+IF(OR(LEFT(A248)="G",LEFT(A248)="S"),Stats!$E$3-15+Bonuses!$BO$3,IF(OR(LEFT(A248)="Q",LEFT(A248)="R"),Bonuses!$BQ$3,Bonuses!$BP$3))</f>
        <v>17</v>
      </c>
      <c r="E248" s="125">
        <f t="shared" si="20"/>
        <v>2.5499999999999998</v>
      </c>
      <c r="F248" s="125">
        <f t="shared" si="21"/>
        <v>0.85000000000000009</v>
      </c>
      <c r="G248" s="84" t="str">
        <f>100*(1+K248)&amp;" Feet"</f>
        <v>0 Feet</v>
      </c>
      <c r="H248" s="85" t="str">
        <f>10*(1+K248)&amp;" C. Mins"</f>
        <v>0 C. Mins</v>
      </c>
      <c r="J248" s="394">
        <v>200</v>
      </c>
      <c r="K248" s="80">
        <f>IF(ISERROR(C248*1),-1,C248+IF(LEFT(A248)="T",Bonuses!$BR$3,IF(LEFT(A248)="G",Bonuses!$BS$3,IF(LEFT(A248)="Q",Bonuses!$BT$3,IF(LEFT(A248)="S",Bonuses!$BU$3,IF(LEFT(A248)="R",Bonuses!$BV$3,0))))))+P248</f>
        <v>-1</v>
      </c>
      <c r="L248" s="80">
        <v>1</v>
      </c>
      <c r="M248" s="75">
        <v>20</v>
      </c>
      <c r="N248" s="75">
        <v>3</v>
      </c>
      <c r="O248" s="380"/>
      <c r="P248" s="380"/>
      <c r="R248" s="83">
        <v>3000</v>
      </c>
    </row>
    <row r="249" spans="1:19" x14ac:dyDescent="0.2">
      <c r="A249" s="95" t="s">
        <v>256</v>
      </c>
      <c r="B249" s="79" t="s">
        <v>764</v>
      </c>
      <c r="C249" s="126" t="s">
        <v>283</v>
      </c>
      <c r="D249" s="125">
        <f>M249+O249+(K249*N249)+IF(OR(LEFT(A249)="G",LEFT(A249)="S"),Stats!$E$3-15+Bonuses!$BO$3,IF(OR(LEFT(A249)="Q",LEFT(A249)="R"),Bonuses!$BQ$3,Bonuses!$BP$3))</f>
        <v>27</v>
      </c>
      <c r="E249" s="125">
        <f t="shared" si="20"/>
        <v>4.05</v>
      </c>
      <c r="F249" s="125">
        <f t="shared" si="21"/>
        <v>1.35</v>
      </c>
      <c r="G249" s="84" t="str">
        <f>1*(5+K249)&amp;" Feet"</f>
        <v>4 Feet</v>
      </c>
      <c r="H249" s="85" t="str">
        <f>ROUND(1/2*(1+K249),1)&amp;" Hours"</f>
        <v>0 Hours</v>
      </c>
      <c r="J249" s="394">
        <v>150</v>
      </c>
      <c r="K249" s="80">
        <f>IF(ISERROR(C249*1),-1,C249+IF(LEFT(A249)="T",Bonuses!$BR$3,IF(LEFT(A249)="G",Bonuses!$BS$3,IF(LEFT(A249)="Q",Bonuses!$BT$3,IF(LEFT(A249)="S",Bonuses!$BU$3,IF(LEFT(A249)="R",Bonuses!$BV$3,0))))))+P249</f>
        <v>-1</v>
      </c>
      <c r="L249" s="80">
        <v>1</v>
      </c>
      <c r="M249" s="75">
        <v>30</v>
      </c>
      <c r="N249" s="75">
        <v>3</v>
      </c>
      <c r="O249" s="380"/>
      <c r="P249" s="380"/>
      <c r="R249" s="83">
        <v>5000</v>
      </c>
    </row>
    <row r="250" spans="1:19" x14ac:dyDescent="0.2">
      <c r="A250" s="95" t="s">
        <v>257</v>
      </c>
      <c r="B250" s="79" t="s">
        <v>765</v>
      </c>
      <c r="C250" s="126" t="s">
        <v>283</v>
      </c>
      <c r="D250" s="125">
        <f>M250+O250+(K250*N250)+IF(OR(LEFT(A250)="G",LEFT(A250)="S"),Stats!$E$3-15+Bonuses!$BO$3,IF(OR(LEFT(A250)="Q",LEFT(A250)="R"),Bonuses!$BQ$3,Bonuses!$BP$3))</f>
        <v>22</v>
      </c>
      <c r="E250" s="125">
        <f t="shared" si="20"/>
        <v>3.3</v>
      </c>
      <c r="F250" s="125">
        <f t="shared" si="21"/>
        <v>1.1000000000000001</v>
      </c>
      <c r="G250" s="84" t="str">
        <f>10*(1+K250)&amp;" Feet"</f>
        <v>0 Feet</v>
      </c>
      <c r="H250" s="85" t="str">
        <f>5*(1+K250)&amp;" Mins"</f>
        <v>0 Mins</v>
      </c>
      <c r="J250" s="394">
        <v>150</v>
      </c>
      <c r="K250" s="80">
        <f>IF(ISERROR(C250*1),-1,C250+IF(LEFT(A250)="T",Bonuses!$BR$3,IF(LEFT(A250)="G",Bonuses!$BS$3,IF(LEFT(A250)="Q",Bonuses!$BT$3,IF(LEFT(A250)="S",Bonuses!$BU$3,IF(LEFT(A250)="R",Bonuses!$BV$3,0))))))+P250</f>
        <v>-1</v>
      </c>
      <c r="L250" s="80">
        <v>1</v>
      </c>
      <c r="M250" s="75">
        <v>25</v>
      </c>
      <c r="N250" s="75">
        <v>3</v>
      </c>
      <c r="O250" s="380"/>
      <c r="P250" s="380"/>
      <c r="R250" s="83">
        <v>3000</v>
      </c>
    </row>
    <row r="251" spans="1:19" x14ac:dyDescent="0.2">
      <c r="A251" s="95" t="s">
        <v>258</v>
      </c>
      <c r="B251" s="79" t="s">
        <v>155</v>
      </c>
      <c r="C251" s="126" t="s">
        <v>283</v>
      </c>
      <c r="D251" s="125">
        <f>M251+O251+(K251*N251)+IF(OR(LEFT(A251)="G",LEFT(A251)="S"),Stats!$E$3-15+Bonuses!$BO$3,IF(OR(LEFT(A251)="Q",LEFT(A251)="R"),Bonuses!$BQ$3,Bonuses!$BP$3))</f>
        <v>27</v>
      </c>
      <c r="E251" s="125">
        <f t="shared" si="20"/>
        <v>4.05</v>
      </c>
      <c r="F251" s="125">
        <f t="shared" si="21"/>
        <v>1.35</v>
      </c>
      <c r="G251" s="84" t="str">
        <f>5*(1+K251)&amp;" Feet"</f>
        <v>0 Feet</v>
      </c>
      <c r="H251" s="85" t="str">
        <f>ROUND(1/2*(1+K251),1)&amp;" Hours"</f>
        <v>0 Hours</v>
      </c>
      <c r="I251" s="94" t="str">
        <f>30+K251&amp;"mph. "&amp;(30+K251)*1.5&amp;" Hex/Pulse D+"&amp;10-K251&amp;"mins"</f>
        <v>29mph. 43.5 Hex/Pulse D+11mins</v>
      </c>
      <c r="J251" s="394">
        <v>250</v>
      </c>
      <c r="K251" s="80">
        <f>IF(ISERROR(C251*1),-1,C251+IF(LEFT(A251)="T",Bonuses!$BR$3,IF(LEFT(A251)="G",Bonuses!$BS$3,IF(LEFT(A251)="Q",Bonuses!$BT$3,IF(LEFT(A251)="S",Bonuses!$BU$3,IF(LEFT(A251)="R",Bonuses!$BV$3,0))))))+P251</f>
        <v>-1</v>
      </c>
      <c r="L251" s="80">
        <v>1</v>
      </c>
      <c r="M251" s="75">
        <v>30</v>
      </c>
      <c r="N251" s="75">
        <v>3</v>
      </c>
      <c r="O251" s="380"/>
      <c r="P251" s="380"/>
      <c r="R251" s="83">
        <v>15000</v>
      </c>
    </row>
    <row r="252" spans="1:19" x14ac:dyDescent="0.2">
      <c r="A252" s="95" t="s">
        <v>259</v>
      </c>
      <c r="B252" s="79" t="s">
        <v>766</v>
      </c>
      <c r="C252" s="126" t="s">
        <v>283</v>
      </c>
      <c r="D252" s="125">
        <f>M252+O252+(K252*N252)+IF(OR(LEFT(A252)="G",LEFT(A252)="S"),Stats!$E$3-15+Bonuses!$BO$3,IF(OR(LEFT(A252)="Q",LEFT(A252)="R"),Bonuses!$BQ$3,Bonuses!$BP$3))</f>
        <v>17</v>
      </c>
      <c r="E252" s="125">
        <f t="shared" si="20"/>
        <v>2.5499999999999998</v>
      </c>
      <c r="F252" s="125">
        <f t="shared" si="21"/>
        <v>0.85000000000000009</v>
      </c>
      <c r="G252" s="84" t="str">
        <f>IF(K252&lt;11,"Self","Touch")</f>
        <v>Self</v>
      </c>
      <c r="H252" s="85" t="str">
        <f>5*(1+ROUND(K252/2,0))&amp;" Secs"</f>
        <v>0 Secs</v>
      </c>
      <c r="J252" s="394">
        <v>300</v>
      </c>
      <c r="K252" s="80">
        <f>IF(ISERROR(C252*1),-1,C252+IF(LEFT(A252)="T",Bonuses!$BR$3,IF(LEFT(A252)="G",Bonuses!$BS$3,IF(LEFT(A252)="Q",Bonuses!$BT$3,IF(LEFT(A252)="S",Bonuses!$BU$3,IF(LEFT(A252)="R",Bonuses!$BV$3,0))))))+P252</f>
        <v>-1</v>
      </c>
      <c r="L252" s="80">
        <v>1</v>
      </c>
      <c r="M252" s="75">
        <v>20</v>
      </c>
      <c r="N252" s="75">
        <v>3</v>
      </c>
      <c r="O252" s="380"/>
      <c r="P252" s="380"/>
      <c r="R252" s="83">
        <v>30000</v>
      </c>
    </row>
    <row r="253" spans="1:19" x14ac:dyDescent="0.2">
      <c r="A253" s="95" t="s">
        <v>260</v>
      </c>
      <c r="B253" s="79" t="s">
        <v>767</v>
      </c>
      <c r="C253" s="126" t="s">
        <v>283</v>
      </c>
      <c r="D253" s="125">
        <f>M253+O253+(K253*N253)+IF(OR(LEFT(A253)="G",LEFT(A253)="S"),Stats!$E$3-15+Bonuses!$BO$3,IF(OR(LEFT(A253)="Q",LEFT(A253)="R"),Bonuses!$BQ$3,Bonuses!$BP$3))</f>
        <v>27</v>
      </c>
      <c r="E253" s="125">
        <f t="shared" si="20"/>
        <v>4.05</v>
      </c>
      <c r="F253" s="125">
        <f t="shared" si="21"/>
        <v>1.35</v>
      </c>
      <c r="G253" s="84" t="str">
        <f>5*(1+K253)&amp;" Feet"</f>
        <v>0 Feet</v>
      </c>
      <c r="H253" s="85" t="str">
        <f>5*(1+K253)&amp;" Mins"</f>
        <v>0 Mins</v>
      </c>
      <c r="J253" s="394">
        <v>200</v>
      </c>
      <c r="K253" s="80">
        <f>IF(ISERROR(C253*1),-1,C253+IF(LEFT(A253)="T",Bonuses!$BR$3,IF(LEFT(A253)="G",Bonuses!$BS$3,IF(LEFT(A253)="Q",Bonuses!$BT$3,IF(LEFT(A253)="S",Bonuses!$BU$3,IF(LEFT(A253)="R",Bonuses!$BV$3,0))))))+P253</f>
        <v>-1</v>
      </c>
      <c r="L253" s="80">
        <v>1</v>
      </c>
      <c r="M253" s="75">
        <v>30</v>
      </c>
      <c r="N253" s="75">
        <v>3</v>
      </c>
      <c r="O253" s="380"/>
      <c r="P253" s="380"/>
      <c r="R253" s="83">
        <v>4000</v>
      </c>
    </row>
    <row r="254" spans="1:19" x14ac:dyDescent="0.2">
      <c r="A254" s="95" t="s">
        <v>261</v>
      </c>
      <c r="B254" s="79" t="s">
        <v>768</v>
      </c>
      <c r="C254" s="126" t="s">
        <v>283</v>
      </c>
      <c r="D254" s="125">
        <f>M254+O254+(K254*N254)+IF(OR(LEFT(A254)="G",LEFT(A254)="S"),Stats!$E$3-15+Bonuses!$BO$3,IF(OR(LEFT(A254)="Q",LEFT(A254)="R"),Bonuses!$BQ$3,Bonuses!$BP$3))</f>
        <v>12</v>
      </c>
      <c r="E254" s="125">
        <f t="shared" si="20"/>
        <v>1.7999999999999998</v>
      </c>
      <c r="F254" s="125">
        <f t="shared" si="21"/>
        <v>0.60000000000000009</v>
      </c>
      <c r="G254" s="84" t="str">
        <f>10*(3+K254)&amp;" Feet"</f>
        <v>20 Feet</v>
      </c>
      <c r="H254" s="85" t="str">
        <f>5*(1+K254)&amp;" Mins"</f>
        <v>0 Mins</v>
      </c>
      <c r="J254" s="394">
        <v>450</v>
      </c>
      <c r="K254" s="80">
        <f>IF(ISERROR(C254*1),-1,C254+IF(LEFT(A254)="T",Bonuses!$BR$3,IF(LEFT(A254)="G",Bonuses!$BS$3,IF(LEFT(A254)="Q",Bonuses!$BT$3,IF(LEFT(A254)="S",Bonuses!$BU$3,IF(LEFT(A254)="R",Bonuses!$BV$3,0))))))+P254</f>
        <v>-1</v>
      </c>
      <c r="L254" s="80">
        <v>1</v>
      </c>
      <c r="M254" s="75">
        <v>15</v>
      </c>
      <c r="N254" s="75">
        <v>3</v>
      </c>
      <c r="O254" s="380"/>
      <c r="P254" s="380"/>
      <c r="R254" s="83">
        <v>10000</v>
      </c>
    </row>
    <row r="255" spans="1:19" x14ac:dyDescent="0.2">
      <c r="A255" s="95" t="s">
        <v>262</v>
      </c>
      <c r="B255" s="79" t="s">
        <v>769</v>
      </c>
      <c r="C255" s="126" t="s">
        <v>283</v>
      </c>
      <c r="D255" s="125">
        <f>M255+O255+(K255*N255)+IF(OR(LEFT(A255)="G",LEFT(A255)="S"),Stats!$E$3-15+Bonuses!$BO$3,IF(OR(LEFT(A255)="Q",LEFT(A255)="R"),Bonuses!$BQ$3,Bonuses!$BP$3))</f>
        <v>27</v>
      </c>
      <c r="E255" s="125">
        <f t="shared" si="20"/>
        <v>4.05</v>
      </c>
      <c r="F255" s="125">
        <f t="shared" si="21"/>
        <v>1.35</v>
      </c>
      <c r="G255" s="84" t="s">
        <v>770</v>
      </c>
      <c r="H255" s="84" t="s">
        <v>240</v>
      </c>
      <c r="I255" s="94" t="str">
        <f>"D+"&amp;5+ROUND(K255/3,0)&amp;" Dmg res 1/2 Stuns 5'x60' AoE"</f>
        <v>D+5 Dmg res 1/2 Stuns 5'x60' AoE</v>
      </c>
      <c r="J255" s="394">
        <v>225</v>
      </c>
      <c r="K255" s="80">
        <f>IF(ISERROR(C255*1),-1,C255+IF(LEFT(A255)="T",Bonuses!$BR$3,IF(LEFT(A255)="G",Bonuses!$BS$3,IF(LEFT(A255)="Q",Bonuses!$BT$3,IF(LEFT(A255)="S",Bonuses!$BU$3,IF(LEFT(A255)="R",Bonuses!$BV$3,0))))))+P255</f>
        <v>-1</v>
      </c>
      <c r="L255" s="80">
        <v>1</v>
      </c>
      <c r="M255" s="75">
        <v>30</v>
      </c>
      <c r="N255" s="75">
        <v>3</v>
      </c>
      <c r="O255" s="380"/>
      <c r="P255" s="380"/>
      <c r="R255" s="83">
        <v>10000</v>
      </c>
    </row>
    <row r="256" spans="1:19" x14ac:dyDescent="0.2">
      <c r="A256" s="95" t="s">
        <v>263</v>
      </c>
      <c r="B256" s="79" t="s">
        <v>771</v>
      </c>
      <c r="C256" s="126" t="s">
        <v>283</v>
      </c>
      <c r="D256" s="125">
        <f>M256+O256+(K256*N256)+IF(OR(LEFT(A256)="G",LEFT(A256)="S"),Stats!$E$3-15+Bonuses!$BO$3,IF(OR(LEFT(A256)="Q",LEFT(A256)="R"),Bonuses!$BQ$3,Bonuses!$BP$3))</f>
        <v>32</v>
      </c>
      <c r="E256" s="125">
        <f t="shared" si="20"/>
        <v>4.8</v>
      </c>
      <c r="F256" s="125">
        <f t="shared" si="21"/>
        <v>1.6</v>
      </c>
      <c r="G256" s="84" t="str">
        <f>5*(3+K256)&amp;" Feet"</f>
        <v>10 Feet</v>
      </c>
      <c r="H256" s="85" t="str">
        <f>ROUND(1/2*(1+K256),1)&amp;" Hours"</f>
        <v>0 Hours</v>
      </c>
      <c r="I256" s="94" t="str">
        <f>"D-4+"&amp;ROUND(K256/2,0)&amp;" Dmg res 1/2 Counterstrike"</f>
        <v>D-4+-1 Dmg res 1/2 Counterstrike</v>
      </c>
      <c r="J256" s="394">
        <v>250</v>
      </c>
      <c r="K256" s="80">
        <f>IF(ISERROR(C256*1),-1,C256+IF(LEFT(A256)="T",Bonuses!$BR$3,IF(LEFT(A256)="G",Bonuses!$BS$3,IF(LEFT(A256)="Q",Bonuses!$BT$3,IF(LEFT(A256)="S",Bonuses!$BU$3,IF(LEFT(A256)="R",Bonuses!$BV$3,0))))))+P256</f>
        <v>-1</v>
      </c>
      <c r="L256" s="80">
        <v>1</v>
      </c>
      <c r="M256" s="75">
        <v>35</v>
      </c>
      <c r="N256" s="75">
        <v>3</v>
      </c>
      <c r="O256" s="380"/>
      <c r="P256" s="380"/>
      <c r="R256" s="83">
        <v>3000</v>
      </c>
    </row>
    <row r="257" spans="1:32" x14ac:dyDescent="0.2">
      <c r="A257" s="95" t="s">
        <v>264</v>
      </c>
      <c r="B257" s="79" t="s">
        <v>772</v>
      </c>
      <c r="C257" s="126" t="s">
        <v>283</v>
      </c>
      <c r="D257" s="125">
        <f>M257+O257+(K257*N257)+IF(OR(LEFT(A257)="G",LEFT(A257)="S"),Stats!$E$3-15+Bonuses!$BO$3,IF(OR(LEFT(A257)="Q",LEFT(A257)="R"),Bonuses!$BQ$3,Bonuses!$BP$3))</f>
        <v>37</v>
      </c>
      <c r="E257" s="125">
        <f t="shared" si="20"/>
        <v>5.55</v>
      </c>
      <c r="F257" s="125">
        <f t="shared" si="21"/>
        <v>1.85</v>
      </c>
      <c r="G257" s="84" t="s">
        <v>679</v>
      </c>
      <c r="H257" s="85" t="str">
        <f>1*(1+K257)&amp;" Hours"</f>
        <v>0 Hours</v>
      </c>
      <c r="I257" s="94" t="str">
        <f>"+"&amp;1+TRUNC(K257/4,0)&amp;" Temp Gauge "&amp;1+TRUNC(K257/4,0)&amp;" Less Damage"</f>
        <v>+1 Temp Gauge 1 Less Damage</v>
      </c>
      <c r="J257" s="394">
        <v>100</v>
      </c>
      <c r="K257" s="80">
        <f>IF(ISERROR(C257*1),-1,C257+IF(LEFT(A257)="T",Bonuses!$BR$3,IF(LEFT(A257)="G",Bonuses!$BS$3,IF(LEFT(A257)="Q",Bonuses!$BT$3,IF(LEFT(A257)="S",Bonuses!$BU$3,IF(LEFT(A257)="R",Bonuses!$BV$3,0))))))+P257</f>
        <v>-1</v>
      </c>
      <c r="L257" s="80">
        <v>1</v>
      </c>
      <c r="M257" s="75">
        <v>40</v>
      </c>
      <c r="N257" s="75">
        <v>3</v>
      </c>
      <c r="O257" s="380"/>
      <c r="P257" s="380"/>
      <c r="R257" s="83">
        <v>2000</v>
      </c>
    </row>
    <row r="258" spans="1:32" x14ac:dyDescent="0.2">
      <c r="A258" s="95" t="s">
        <v>700</v>
      </c>
      <c r="B258" s="79" t="s">
        <v>773</v>
      </c>
      <c r="C258" s="126" t="s">
        <v>283</v>
      </c>
      <c r="D258" s="125">
        <f>M258+O258+(K258*N258)+IF(OR(LEFT(A258)="G",LEFT(A258)="S"),Stats!$E$3-15+Bonuses!$BO$3,IF(OR(LEFT(A258)="Q",LEFT(A258)="R"),Bonuses!$BQ$3,Bonuses!$BP$3))</f>
        <v>37</v>
      </c>
      <c r="E258" s="125">
        <f t="shared" si="20"/>
        <v>5.55</v>
      </c>
      <c r="F258" s="125">
        <f t="shared" si="21"/>
        <v>1.85</v>
      </c>
      <c r="G258" s="84" t="str">
        <f>1*(5+K258)&amp;" Miles"</f>
        <v>4 Miles</v>
      </c>
      <c r="H258" s="85" t="str">
        <f>1*(1+K258)&amp;" C. Mins"</f>
        <v>0 C. Mins</v>
      </c>
      <c r="J258" s="394">
        <v>150</v>
      </c>
      <c r="K258" s="80">
        <f>IF(ISERROR(C258*1),-1,C258+IF(LEFT(A258)="T",Bonuses!$BR$3,IF(LEFT(A258)="G",Bonuses!$BS$3,IF(LEFT(A258)="Q",Bonuses!$BT$3,IF(LEFT(A258)="S",Bonuses!$BU$3,IF(LEFT(A258)="R",Bonuses!$BV$3,0))))))+P258</f>
        <v>-1</v>
      </c>
      <c r="L258" s="80">
        <v>1</v>
      </c>
      <c r="M258" s="75">
        <v>40</v>
      </c>
      <c r="N258" s="75">
        <v>3</v>
      </c>
      <c r="O258" s="380"/>
      <c r="P258" s="380"/>
      <c r="R258" s="83">
        <v>1000</v>
      </c>
    </row>
    <row r="259" spans="1:32" x14ac:dyDescent="0.2">
      <c r="A259" s="95" t="s">
        <v>702</v>
      </c>
      <c r="B259" s="79" t="s">
        <v>774</v>
      </c>
      <c r="C259" s="126" t="s">
        <v>283</v>
      </c>
      <c r="D259" s="125">
        <f>M259+O259+(K259*N259)+IF(OR(LEFT(A259)="G",LEFT(A259)="S"),Stats!$E$3-15+Bonuses!$BO$3,IF(OR(LEFT(A259)="Q",LEFT(A259)="R"),Bonuses!$BQ$3,Bonuses!$BP$3))</f>
        <v>-2</v>
      </c>
      <c r="E259" s="125">
        <f t="shared" si="20"/>
        <v>-0.3</v>
      </c>
      <c r="F259" s="125">
        <f t="shared" si="21"/>
        <v>-0.1</v>
      </c>
      <c r="G259" s="84" t="str">
        <f>15*(1+K259)&amp;" Feet"</f>
        <v>0 Feet</v>
      </c>
      <c r="H259" s="84" t="s">
        <v>240</v>
      </c>
      <c r="J259" s="394">
        <v>350</v>
      </c>
      <c r="K259" s="80">
        <f>IF(ISERROR(C259*1),-1,C259+IF(LEFT(A259)="T",Bonuses!$BR$3,IF(LEFT(A259)="G",Bonuses!$BS$3,IF(LEFT(A259)="Q",Bonuses!$BT$3,IF(LEFT(A259)="S",Bonuses!$BU$3,IF(LEFT(A259)="R",Bonuses!$BV$3,0))))))+P259</f>
        <v>-1</v>
      </c>
      <c r="L259" s="80">
        <v>1</v>
      </c>
      <c r="M259" s="75">
        <v>1</v>
      </c>
      <c r="N259" s="75">
        <v>3</v>
      </c>
      <c r="O259" s="380"/>
      <c r="P259" s="380"/>
    </row>
    <row r="260" spans="1:32" x14ac:dyDescent="0.2">
      <c r="A260" s="95" t="s">
        <v>735</v>
      </c>
      <c r="B260" s="79" t="s">
        <v>775</v>
      </c>
      <c r="C260" s="126" t="s">
        <v>283</v>
      </c>
      <c r="D260" s="125">
        <f>M260+O260+(K260*N260)+IF(OR(LEFT(A260)="G",LEFT(A260)="S"),Stats!$E$3-15+Bonuses!$BO$3,IF(OR(LEFT(A260)="Q",LEFT(A260)="R"),Bonuses!$BQ$3,Bonuses!$BP$3))</f>
        <v>37</v>
      </c>
      <c r="E260" s="125">
        <f t="shared" si="20"/>
        <v>5.55</v>
      </c>
      <c r="F260" s="125">
        <f t="shared" si="21"/>
        <v>1.85</v>
      </c>
      <c r="G260" s="84" t="str">
        <f>100*(1+K260)&amp;" Miles"</f>
        <v>0 Miles</v>
      </c>
      <c r="H260" s="85"/>
      <c r="J260" s="394">
        <v>150</v>
      </c>
      <c r="K260" s="80">
        <f>IF(ISERROR(C260*1),-1,C260+IF(LEFT(A260)="T",Bonuses!$BR$3,IF(LEFT(A260)="G",Bonuses!$BS$3,IF(LEFT(A260)="Q",Bonuses!$BT$3,IF(LEFT(A260)="S",Bonuses!$BU$3,IF(LEFT(A260)="R",Bonuses!$BV$3,0))))))+P260</f>
        <v>-1</v>
      </c>
      <c r="L260" s="80">
        <v>1</v>
      </c>
      <c r="M260" s="75">
        <v>40</v>
      </c>
      <c r="N260" s="75">
        <v>3</v>
      </c>
      <c r="O260" s="380"/>
      <c r="P260" s="380"/>
      <c r="R260" s="83">
        <v>5000</v>
      </c>
    </row>
    <row r="261" spans="1:32" x14ac:dyDescent="0.2">
      <c r="A261" s="95" t="s">
        <v>737</v>
      </c>
      <c r="B261" s="79" t="s">
        <v>776</v>
      </c>
      <c r="C261" s="126" t="s">
        <v>283</v>
      </c>
      <c r="D261" s="125">
        <f>M261+O261+(K261*N261)+IF(OR(LEFT(A261)="G",LEFT(A261)="S"),Stats!$E$3-15+Bonuses!$BO$3,IF(OR(LEFT(A261)="Q",LEFT(A261)="R"),Bonuses!$BQ$3,Bonuses!$BP$3))</f>
        <v>37</v>
      </c>
      <c r="E261" s="125">
        <f t="shared" si="20"/>
        <v>5.55</v>
      </c>
      <c r="F261" s="125">
        <f t="shared" si="21"/>
        <v>1.85</v>
      </c>
      <c r="G261" s="84" t="str">
        <f>30*(1+K261)&amp;" Feet"</f>
        <v>0 Feet</v>
      </c>
      <c r="H261" s="85" t="str">
        <f>10*(1+K261)&amp;" Secs"</f>
        <v>0 Secs</v>
      </c>
      <c r="J261" s="394">
        <v>200</v>
      </c>
      <c r="K261" s="80">
        <f>IF(ISERROR(C261*1),-1,C261+IF(LEFT(A261)="T",Bonuses!$BR$3,IF(LEFT(A261)="G",Bonuses!$BS$3,IF(LEFT(A261)="Q",Bonuses!$BT$3,IF(LEFT(A261)="S",Bonuses!$BU$3,IF(LEFT(A261)="R",Bonuses!$BV$3,0))))))+P261</f>
        <v>-1</v>
      </c>
      <c r="L261" s="80">
        <v>1</v>
      </c>
      <c r="M261" s="75">
        <v>40</v>
      </c>
      <c r="N261" s="75">
        <v>3</v>
      </c>
      <c r="O261" s="380"/>
      <c r="P261" s="380"/>
      <c r="R261" s="83">
        <v>20000</v>
      </c>
    </row>
    <row r="262" spans="1:32" x14ac:dyDescent="0.2">
      <c r="A262" s="95" t="s">
        <v>739</v>
      </c>
      <c r="B262" s="79" t="s">
        <v>777</v>
      </c>
      <c r="C262" s="126" t="s">
        <v>283</v>
      </c>
      <c r="D262" s="125">
        <f>M262+O262+(K262*N262)+IF(OR(LEFT(A262)="G",LEFT(A262)="S"),Stats!$E$3-15+Bonuses!$BO$3,IF(OR(LEFT(A262)="Q",LEFT(A262)="R"),Bonuses!$BQ$3,Bonuses!$BP$3))</f>
        <v>22</v>
      </c>
      <c r="E262" s="125">
        <f t="shared" si="20"/>
        <v>3.3</v>
      </c>
      <c r="F262" s="125">
        <f t="shared" si="21"/>
        <v>1.1000000000000001</v>
      </c>
      <c r="G262" s="84" t="str">
        <f>10*(1+K262)&amp;" Feet"</f>
        <v>0 Feet</v>
      </c>
      <c r="H262" s="85" t="str">
        <f>30*(1+K262)&amp;" Secs"</f>
        <v>0 Secs</v>
      </c>
      <c r="I262" s="283" t="str">
        <f>50+5*K262&amp;"mph, range "&amp;ROUND((50+5*K262)/120*(1+K262),1)&amp;" miles."</f>
        <v>45mph, range 0 miles.</v>
      </c>
      <c r="J262" s="394">
        <v>350</v>
      </c>
      <c r="K262" s="80">
        <f>IF(ISERROR(C262*1),-1,C262+IF(LEFT(A262)="T",Bonuses!$BR$3,IF(LEFT(A262)="G",Bonuses!$BS$3,IF(LEFT(A262)="Q",Bonuses!$BT$3,IF(LEFT(A262)="S",Bonuses!$BU$3,IF(LEFT(A262)="R",Bonuses!$BV$3,0))))))+P262</f>
        <v>-1</v>
      </c>
      <c r="L262" s="80">
        <v>1</v>
      </c>
      <c r="M262" s="75">
        <v>25</v>
      </c>
      <c r="N262" s="75">
        <v>3</v>
      </c>
      <c r="O262" s="380"/>
      <c r="P262" s="380"/>
      <c r="R262" s="83">
        <v>15000</v>
      </c>
    </row>
    <row r="263" spans="1:32" x14ac:dyDescent="0.2">
      <c r="A263" s="95" t="s">
        <v>778</v>
      </c>
      <c r="B263" s="79" t="s">
        <v>779</v>
      </c>
      <c r="C263" s="126" t="s">
        <v>283</v>
      </c>
      <c r="D263" s="125">
        <f>M263+O263+(K263*N263)+IF(OR(LEFT(A263)="G",LEFT(A263)="S"),Stats!$E$3-15+Bonuses!$BO$3,IF(OR(LEFT(A263)="Q",LEFT(A263)="R"),Bonuses!$BQ$3,Bonuses!$BP$3))</f>
        <v>27</v>
      </c>
      <c r="E263" s="125">
        <f t="shared" si="20"/>
        <v>4.05</v>
      </c>
      <c r="F263" s="125">
        <f t="shared" si="21"/>
        <v>1.35</v>
      </c>
      <c r="G263" s="84" t="str">
        <f>10*(3.5+K263)&amp;" Feet"</f>
        <v>25 Feet</v>
      </c>
      <c r="H263" s="84" t="s">
        <v>240</v>
      </c>
      <c r="I263" s="94" t="str">
        <f>"D-1+"&amp;K263&amp;" Dmg res 1/2 Blinds "&amp;FLOOR(K263/4,1)&amp;" pulses"</f>
        <v>D-1+-1 Dmg res 1/2 Blinds -1 pulses</v>
      </c>
      <c r="J263" s="394">
        <v>350</v>
      </c>
      <c r="K263" s="80">
        <f>IF(ISERROR(C263*1),-1,C263+IF(LEFT(A263)="T",Bonuses!$BR$3,IF(LEFT(A263)="G",Bonuses!$BS$3,IF(LEFT(A263)="Q",Bonuses!$BT$3,IF(LEFT(A263)="S",Bonuses!$BU$3,IF(LEFT(A263)="R",Bonuses!$BV$3,0))))))+P263</f>
        <v>-1</v>
      </c>
      <c r="L263" s="80">
        <v>1</v>
      </c>
      <c r="M263" s="75">
        <v>30</v>
      </c>
      <c r="N263" s="75">
        <v>3</v>
      </c>
      <c r="O263" s="380"/>
      <c r="P263" s="380"/>
      <c r="R263" s="83">
        <v>7500</v>
      </c>
    </row>
    <row r="264" spans="1:32" x14ac:dyDescent="0.2">
      <c r="A264" s="95" t="s">
        <v>780</v>
      </c>
      <c r="B264" s="79" t="s">
        <v>781</v>
      </c>
      <c r="C264" s="126" t="s">
        <v>283</v>
      </c>
      <c r="D264" s="125">
        <f>M264+O264+(K264*N264)+IF(OR(LEFT(A264)="G",LEFT(A264)="S"),Stats!$E$3-15+Bonuses!$BO$3,IF(OR(LEFT(A264)="Q",LEFT(A264)="R"),Bonuses!$BQ$3,Bonuses!$BP$3))</f>
        <v>27</v>
      </c>
      <c r="E264" s="125">
        <f t="shared" si="20"/>
        <v>4.05</v>
      </c>
      <c r="F264" s="125">
        <f t="shared" si="21"/>
        <v>1.35</v>
      </c>
      <c r="G264" s="84" t="str">
        <f>20*(1+K264)&amp;" Feet"</f>
        <v>0 Feet</v>
      </c>
      <c r="H264" s="84" t="s">
        <v>240</v>
      </c>
      <c r="I264" s="94" t="str">
        <f>IF(K264&lt;6,5,IF(K264&lt;13,15,IF(K264&lt;20,25,35)))&amp;"'r D+"&amp;1+TRUNC(K264/2,0)&amp;" Dmg res 1/2 Deaf "&amp;K264&amp;" pulses Stun?"</f>
        <v>5'r D+1 Dmg res 1/2 Deaf -1 pulses Stun?</v>
      </c>
      <c r="J264" s="394">
        <v>325</v>
      </c>
      <c r="K264" s="80">
        <f>IF(ISERROR(C264*1),-1,C264+IF(LEFT(A264)="T",Bonuses!$BR$3,IF(LEFT(A264)="G",Bonuses!$BS$3,IF(LEFT(A264)="Q",Bonuses!$BT$3,IF(LEFT(A264)="S",Bonuses!$BU$3,IF(LEFT(A264)="R",Bonuses!$BV$3,0))))))+P264</f>
        <v>-1</v>
      </c>
      <c r="L264" s="80">
        <v>1</v>
      </c>
      <c r="M264" s="75">
        <v>30</v>
      </c>
      <c r="N264" s="75">
        <v>3</v>
      </c>
      <c r="O264" s="380"/>
      <c r="P264" s="380"/>
      <c r="R264" s="83">
        <v>13000</v>
      </c>
    </row>
    <row r="265" spans="1:32" x14ac:dyDescent="0.2">
      <c r="A265" s="95" t="s">
        <v>625</v>
      </c>
      <c r="B265" s="79" t="s">
        <v>782</v>
      </c>
      <c r="C265" s="126" t="s">
        <v>283</v>
      </c>
      <c r="D265" s="125">
        <f>M265+O265+(K265*N265)+IF(OR(LEFT(A265)="G",LEFT(A265)="S"),Stats!$E$3-15+Bonuses!$BO$3,IF(OR(LEFT(A265)="Q",LEFT(A265)="R"),Bonuses!$BQ$3,Bonuses!$BP$3))</f>
        <v>10</v>
      </c>
      <c r="E265" s="125">
        <f t="shared" si="20"/>
        <v>1.5</v>
      </c>
      <c r="F265" s="125">
        <f t="shared" si="21"/>
        <v>0.5</v>
      </c>
      <c r="G265" s="84"/>
      <c r="H265" s="85" t="str">
        <f>MAX(1,K265*K265)&amp;" Hours"</f>
        <v>1 Hours</v>
      </c>
      <c r="J265" s="394">
        <v>150</v>
      </c>
      <c r="K265" s="80">
        <f>IF(ISERROR(C265*1),-1,C265+IF(LEFT(A265)="T",Bonuses!$BR$3,IF(LEFT(A265)="G",Bonuses!$BS$3,IF(LEFT(A265)="Q",Bonuses!$BT$3,IF(LEFT(A265)="S",Bonuses!$BU$3,IF(LEFT(A265)="R",Bonuses!$BV$3,0))))))+P265</f>
        <v>-1</v>
      </c>
      <c r="L265" s="80">
        <v>7</v>
      </c>
      <c r="M265" s="75">
        <f>Stats!$E$3</f>
        <v>15</v>
      </c>
      <c r="N265" s="75">
        <v>5</v>
      </c>
      <c r="O265" s="380"/>
      <c r="P265" s="380"/>
      <c r="R265" s="83">
        <v>2500</v>
      </c>
    </row>
    <row r="266" spans="1:32" x14ac:dyDescent="0.2">
      <c r="A266" s="95" t="s">
        <v>627</v>
      </c>
      <c r="B266" s="79" t="s">
        <v>783</v>
      </c>
      <c r="C266" s="126" t="s">
        <v>283</v>
      </c>
      <c r="D266" s="125">
        <f>M266+O266+(K266*N266)+IF(OR(LEFT(A266)="G",LEFT(A266)="S"),Stats!$E$3-15+Bonuses!$BO$3,IF(OR(LEFT(A266)="Q",LEFT(A266)="R"),Bonuses!$BQ$3,Bonuses!$BP$3))</f>
        <v>10</v>
      </c>
      <c r="E266" s="125">
        <f t="shared" si="20"/>
        <v>1.5</v>
      </c>
      <c r="F266" s="125">
        <f t="shared" si="21"/>
        <v>0.5</v>
      </c>
      <c r="G266" s="84" t="s">
        <v>708</v>
      </c>
      <c r="H266" s="84" t="s">
        <v>244</v>
      </c>
      <c r="J266" s="394">
        <v>200</v>
      </c>
      <c r="K266" s="80">
        <f>IF(ISERROR(C266*1),-1,C266+IF(LEFT(A266)="T",Bonuses!$BR$3,IF(LEFT(A266)="G",Bonuses!$BS$3,IF(LEFT(A266)="Q",Bonuses!$BT$3,IF(LEFT(A266)="S",Bonuses!$BU$3,IF(LEFT(A266)="R",Bonuses!$BV$3,0))))))+P266</f>
        <v>-1</v>
      </c>
      <c r="L266" s="80">
        <v>7</v>
      </c>
      <c r="M266" s="75">
        <f>Stats!$E$3</f>
        <v>15</v>
      </c>
      <c r="N266" s="75">
        <v>5</v>
      </c>
      <c r="O266" s="380"/>
      <c r="P266" s="380"/>
      <c r="R266" s="83">
        <v>60000</v>
      </c>
    </row>
    <row r="267" spans="1:32" x14ac:dyDescent="0.2">
      <c r="A267" s="95" t="s">
        <v>629</v>
      </c>
      <c r="B267" s="79" t="s">
        <v>784</v>
      </c>
      <c r="C267" s="126" t="s">
        <v>283</v>
      </c>
      <c r="D267" s="125">
        <f>M267+O267+(K267*N267)+IF(OR(LEFT(A267)="G",LEFT(A267)="S"),Stats!$E$3-15+Bonuses!$BO$3,IF(OR(LEFT(A267)="Q",LEFT(A267)="R"),Bonuses!$BQ$3,Bonuses!$BP$3))</f>
        <v>27</v>
      </c>
      <c r="E267" s="125">
        <f t="shared" si="20"/>
        <v>4.05</v>
      </c>
      <c r="F267" s="125">
        <f t="shared" si="21"/>
        <v>1.35</v>
      </c>
      <c r="G267" s="84" t="str">
        <f>10*(1+K267)&amp;" Feet"</f>
        <v>0 Feet</v>
      </c>
      <c r="H267" s="85" t="str">
        <f>8*(1+K267)&amp;" Hours"</f>
        <v>0 Hours</v>
      </c>
      <c r="J267" s="394">
        <v>300</v>
      </c>
      <c r="K267" s="80">
        <f>IF(ISERROR(C267*1),-1,C267+IF(LEFT(A267)="T",Bonuses!$BR$3,IF(LEFT(A267)="G",Bonuses!$BS$3,IF(LEFT(A267)="Q",Bonuses!$BT$3,IF(LEFT(A267)="S",Bonuses!$BU$3,IF(LEFT(A267)="R",Bonuses!$BV$3,0))))))+P267</f>
        <v>-1</v>
      </c>
      <c r="L267" s="80">
        <v>7</v>
      </c>
      <c r="M267" s="75">
        <f>Stats!$E$3*2</f>
        <v>30</v>
      </c>
      <c r="N267" s="75">
        <v>3</v>
      </c>
      <c r="O267" s="380"/>
      <c r="P267" s="380"/>
      <c r="R267" s="83">
        <v>25000</v>
      </c>
    </row>
    <row r="268" spans="1:32" x14ac:dyDescent="0.2">
      <c r="A268" s="95" t="s">
        <v>632</v>
      </c>
      <c r="B268" s="79" t="s">
        <v>785</v>
      </c>
      <c r="C268" s="126" t="s">
        <v>283</v>
      </c>
      <c r="D268" s="125">
        <f>M268+O268+(K268*N268)+IF(OR(LEFT(A268)="G",LEFT(A268)="S"),Stats!$E$3-15+Bonuses!$BO$3,IF(OR(LEFT(A268)="Q",LEFT(A268)="R"),Bonuses!$BQ$3,Bonuses!$BP$3))</f>
        <v>27</v>
      </c>
      <c r="E268" s="125">
        <f t="shared" si="20"/>
        <v>4.05</v>
      </c>
      <c r="F268" s="125">
        <f t="shared" si="21"/>
        <v>1.35</v>
      </c>
      <c r="G268" s="84" t="str">
        <f>5*(1+K268)&amp;" Miles"</f>
        <v>0 Miles</v>
      </c>
      <c r="H268" s="85" t="str">
        <f>5*(1+K268)&amp;" Hours"</f>
        <v>0 Hours</v>
      </c>
      <c r="J268" s="394">
        <v>300</v>
      </c>
      <c r="K268" s="80">
        <f>IF(ISERROR(C268*1),-1,C268+IF(LEFT(A268)="T",Bonuses!$BR$3,IF(LEFT(A268)="G",Bonuses!$BS$3,IF(LEFT(A268)="Q",Bonuses!$BT$3,IF(LEFT(A268)="S",Bonuses!$BU$3,IF(LEFT(A268)="R",Bonuses!$BV$3,0))))))+P268</f>
        <v>-1</v>
      </c>
      <c r="L268" s="80">
        <v>7</v>
      </c>
      <c r="M268" s="75">
        <f>Stats!$E$3*2</f>
        <v>30</v>
      </c>
      <c r="N268" s="75">
        <v>3</v>
      </c>
      <c r="O268" s="380"/>
      <c r="P268" s="380"/>
      <c r="R268" s="83">
        <v>8000</v>
      </c>
    </row>
    <row r="270" spans="1:32" ht="15" customHeight="1" x14ac:dyDescent="0.2">
      <c r="A270" s="73"/>
      <c r="B270" s="73" t="s">
        <v>961</v>
      </c>
      <c r="C270" s="74" t="s">
        <v>149</v>
      </c>
      <c r="D270" s="97" t="s">
        <v>231</v>
      </c>
      <c r="E270" s="97" t="s">
        <v>265</v>
      </c>
      <c r="F270" s="97" t="s">
        <v>266</v>
      </c>
      <c r="G270" s="74" t="s">
        <v>2</v>
      </c>
      <c r="H270" s="74" t="s">
        <v>232</v>
      </c>
      <c r="I270" s="74" t="s">
        <v>234</v>
      </c>
      <c r="J270" s="393" t="s">
        <v>233</v>
      </c>
      <c r="K270" s="75" t="s">
        <v>149</v>
      </c>
      <c r="L270" s="75" t="s">
        <v>235</v>
      </c>
      <c r="M270" s="75" t="s">
        <v>236</v>
      </c>
      <c r="N270" s="76" t="s">
        <v>269</v>
      </c>
      <c r="O270" s="3" t="s">
        <v>169</v>
      </c>
      <c r="P270" s="3" t="s">
        <v>171</v>
      </c>
      <c r="Q270" s="77" t="s">
        <v>237</v>
      </c>
      <c r="R270" s="78" t="s">
        <v>238</v>
      </c>
      <c r="T270" s="2" t="s">
        <v>1447</v>
      </c>
      <c r="U270" s="434" t="s">
        <v>1442</v>
      </c>
      <c r="V270" s="424"/>
      <c r="W270" s="424"/>
      <c r="X270" s="425" t="s">
        <v>1403</v>
      </c>
      <c r="AC270" s="2" t="s">
        <v>1445</v>
      </c>
      <c r="AD270" s="33" t="s">
        <v>1444</v>
      </c>
      <c r="AE270" s="33" t="s">
        <v>1443</v>
      </c>
      <c r="AF270" s="33" t="s">
        <v>1446</v>
      </c>
    </row>
    <row r="271" spans="1:32" ht="12.75" x14ac:dyDescent="0.2">
      <c r="A271" s="95" t="s">
        <v>239</v>
      </c>
      <c r="B271" s="79" t="s">
        <v>786</v>
      </c>
      <c r="C271" s="126">
        <v>0</v>
      </c>
      <c r="D271" s="125"/>
      <c r="E271" s="125">
        <f t="shared" ref="E271:E304" si="22">D271*0.15</f>
        <v>0</v>
      </c>
      <c r="F271" s="125">
        <f>D271*0.05</f>
        <v>0</v>
      </c>
      <c r="G271" s="84" t="str">
        <f>10*(1+K271)&amp;" Feet"</f>
        <v>10 Feet</v>
      </c>
      <c r="H271" s="151" t="s">
        <v>240</v>
      </c>
      <c r="I271" s="94" t="str">
        <f>CONCATENATE("Language Rank: ",1+TRUNC(K271/5))</f>
        <v>Language Rank: 1</v>
      </c>
      <c r="J271" s="394">
        <v>50</v>
      </c>
      <c r="K271" s="80">
        <f>IF(ISERROR(C271*1),-1,C271+IF(LEFT(A271)="T",Bonuses!$BR$3,IF(LEFT(A271)="G",Bonuses!$BS$3,IF(LEFT(A271)="Q",Bonuses!$BT$3,IF(LEFT(A271)="S",Bonuses!$BU$3,IF(LEFT(A271)="R",Bonuses!$BV$3,0))))))+P271</f>
        <v>0</v>
      </c>
      <c r="L271" s="80">
        <v>0</v>
      </c>
      <c r="O271" s="380"/>
      <c r="P271" s="380"/>
      <c r="T271" s="5">
        <f>IF(ISNUMBER(SEARCH($AC$270,$B$270)),AC271,IF(ISNUMBER(SEARCH($AD$270,$B$270)),AD271,IF(ISNUMBER(SEARCH($AE$270,$B$270)),AE271,AF271)))</f>
        <v>5</v>
      </c>
      <c r="U271" s="426">
        <v>0.01</v>
      </c>
      <c r="V271" s="427"/>
      <c r="W271" s="5"/>
      <c r="X271" s="5" t="s">
        <v>1429</v>
      </c>
      <c r="AC271" s="5">
        <v>5</v>
      </c>
      <c r="AD271" s="34">
        <v>-10</v>
      </c>
      <c r="AE271" s="5">
        <v>-25</v>
      </c>
      <c r="AF271" s="5">
        <v>25</v>
      </c>
    </row>
    <row r="272" spans="1:32" ht="12.75" x14ac:dyDescent="0.2">
      <c r="A272" s="95" t="s">
        <v>611</v>
      </c>
      <c r="B272" s="79" t="s">
        <v>787</v>
      </c>
      <c r="C272" s="126">
        <v>0</v>
      </c>
      <c r="D272" s="125"/>
      <c r="E272" s="125">
        <f t="shared" si="22"/>
        <v>0</v>
      </c>
      <c r="F272" s="125">
        <f t="shared" ref="F272:F282" si="23">D272*0.05</f>
        <v>0</v>
      </c>
      <c r="G272" s="84" t="str">
        <f>10*(5+K272)&amp;" Feet"</f>
        <v>50 Feet</v>
      </c>
      <c r="H272" s="85"/>
      <c r="J272" s="394">
        <v>100</v>
      </c>
      <c r="K272" s="80">
        <f>IF(ISERROR(C272*1),-1,C272+IF(LEFT(A272)="T",Bonuses!$BR$3,IF(LEFT(A272)="G",Bonuses!$BS$3,IF(LEFT(A272)="Q",Bonuses!$BT$3,IF(LEFT(A272)="S",Bonuses!$BU$3,IF(LEFT(A272)="R",Bonuses!$BV$3,0))))))+P272</f>
        <v>0</v>
      </c>
      <c r="L272" s="80">
        <v>0</v>
      </c>
      <c r="O272" s="380"/>
      <c r="P272" s="380"/>
      <c r="Q272" s="86"/>
      <c r="R272" s="83">
        <v>300</v>
      </c>
      <c r="T272" s="5">
        <f t="shared" ref="T272:T283" si="24">IF(ISNUMBER(SEARCH($AC$270,$B$270)),AC272,IF(ISNUMBER(SEARCH($AD$270,$B$270)),AD272,IF(ISNUMBER(SEARCH($AE$270,$B$270)),AE272,AF272)))</f>
        <v>15</v>
      </c>
      <c r="U272" s="426">
        <v>0.05</v>
      </c>
      <c r="V272" s="428"/>
      <c r="W272" s="5"/>
      <c r="X272" s="5" t="s">
        <v>1430</v>
      </c>
      <c r="AC272" s="5">
        <v>15</v>
      </c>
      <c r="AD272" s="34">
        <v>0</v>
      </c>
      <c r="AE272" s="5">
        <v>-20</v>
      </c>
      <c r="AF272" s="5">
        <v>20</v>
      </c>
    </row>
    <row r="273" spans="1:32" ht="12.75" x14ac:dyDescent="0.2">
      <c r="A273" s="95" t="s">
        <v>746</v>
      </c>
      <c r="B273" s="79" t="s">
        <v>609</v>
      </c>
      <c r="C273" s="126">
        <v>0</v>
      </c>
      <c r="D273" s="125">
        <f>M273+O273+(K273*N273)+IF(OR(LEFT(A273)="G",LEFT(A273)="S"),Stats!$E$3-15+Bonuses!$BO$3,IF(OR(LEFT(A273)="Q",LEFT(A273)="R"),Bonuses!$BQ$3,Bonuses!$BP$3))</f>
        <v>5</v>
      </c>
      <c r="E273" s="125">
        <f t="shared" si="22"/>
        <v>0.75</v>
      </c>
      <c r="F273" s="125">
        <f t="shared" si="23"/>
        <v>0.25</v>
      </c>
      <c r="G273" s="256" t="s">
        <v>610</v>
      </c>
      <c r="H273" s="85" t="s">
        <v>240</v>
      </c>
      <c r="I273" s="185"/>
      <c r="J273" s="394">
        <v>75</v>
      </c>
      <c r="K273" s="80">
        <f>IF(ISERROR(C273*1),-1,C273+IF(LEFT(A273)="T",Bonuses!$BR$3,IF(LEFT(A273)="G",Bonuses!$BS$3,IF(LEFT(A273)="Q",Bonuses!$BT$3,IF(LEFT(A273)="S",Bonuses!$BU$3,IF(LEFT(A273)="R",Bonuses!$BV$3,0))))))+P273</f>
        <v>0</v>
      </c>
      <c r="L273" s="80">
        <v>0</v>
      </c>
      <c r="M273" s="75">
        <f>Stats!$I$3</f>
        <v>5</v>
      </c>
      <c r="N273" s="75">
        <v>5</v>
      </c>
      <c r="O273" s="380"/>
      <c r="P273" s="380"/>
      <c r="Q273" s="86"/>
      <c r="R273" s="83">
        <v>300</v>
      </c>
      <c r="T273" s="5">
        <f t="shared" si="24"/>
        <v>25</v>
      </c>
      <c r="U273" s="426">
        <v>0.1</v>
      </c>
      <c r="V273" s="428"/>
      <c r="W273" s="5"/>
      <c r="X273" s="5" t="s">
        <v>1431</v>
      </c>
      <c r="AC273" s="5">
        <v>25</v>
      </c>
      <c r="AD273" s="34">
        <v>10</v>
      </c>
      <c r="AE273" s="5">
        <v>-20</v>
      </c>
      <c r="AF273" s="5">
        <v>15</v>
      </c>
    </row>
    <row r="274" spans="1:32" ht="12.75" x14ac:dyDescent="0.2">
      <c r="A274" s="95" t="s">
        <v>241</v>
      </c>
      <c r="B274" s="79" t="s">
        <v>788</v>
      </c>
      <c r="C274" s="126">
        <v>0</v>
      </c>
      <c r="D274" s="125">
        <f>M274+O274+(K274*N274)+IF(OR(LEFT(A274)="G",LEFT(A274)="S"),Stats!$E$3-15+Bonuses!$BO$3,IF(OR(LEFT(A274)="Q",LEFT(A274)="R"),Bonuses!$BQ$3,Bonuses!$BP$3))</f>
        <v>60</v>
      </c>
      <c r="E274" s="125">
        <f t="shared" si="22"/>
        <v>9</v>
      </c>
      <c r="F274" s="125">
        <f t="shared" si="23"/>
        <v>3</v>
      </c>
      <c r="G274" s="84" t="str">
        <f>1*(5+K274)&amp;" Feet"</f>
        <v>5 Feet</v>
      </c>
      <c r="H274" s="85" t="str">
        <f>1*(1+K274)&amp;" Hours"</f>
        <v>1 Hours</v>
      </c>
      <c r="I274" s="94" t="s">
        <v>897</v>
      </c>
      <c r="J274" s="394">
        <v>50</v>
      </c>
      <c r="K274" s="80">
        <f>IF(ISERROR(C274*1),-1,C274+IF(LEFT(A274)="T",Bonuses!$BR$3,IF(LEFT(A274)="G",Bonuses!$BS$3,IF(LEFT(A274)="Q",Bonuses!$BT$3,IF(LEFT(A274)="S",Bonuses!$BU$3,IF(LEFT(A274)="R",Bonuses!$BV$3,0))))))+P274</f>
        <v>0</v>
      </c>
      <c r="L274" s="80">
        <v>1</v>
      </c>
      <c r="M274" s="75">
        <v>60</v>
      </c>
      <c r="N274" s="75">
        <v>3</v>
      </c>
      <c r="O274" s="380"/>
      <c r="P274" s="380"/>
      <c r="Q274" s="86">
        <f>MAX((MAX(Stats!$E$2,Ranking!$C$13)-15)*5,0)</f>
        <v>0</v>
      </c>
      <c r="R274" s="83">
        <v>300</v>
      </c>
      <c r="T274" s="5">
        <f t="shared" si="24"/>
        <v>20</v>
      </c>
      <c r="U274" s="426">
        <v>0.2</v>
      </c>
      <c r="V274" s="429"/>
      <c r="W274" s="5"/>
      <c r="X274" s="5" t="s">
        <v>1432</v>
      </c>
      <c r="AC274" s="5">
        <v>20</v>
      </c>
      <c r="AD274" s="34">
        <v>20</v>
      </c>
      <c r="AE274" s="5">
        <v>-15</v>
      </c>
      <c r="AF274" s="5">
        <v>10</v>
      </c>
    </row>
    <row r="275" spans="1:32" ht="12.75" x14ac:dyDescent="0.2">
      <c r="A275" s="95" t="s">
        <v>242</v>
      </c>
      <c r="B275" s="79" t="s">
        <v>789</v>
      </c>
      <c r="C275" s="126">
        <v>0</v>
      </c>
      <c r="D275" s="125">
        <f>M275+O275+(K275*N275)+IF(OR(LEFT(A275)="G",LEFT(A275)="S"),Stats!$E$3-15+Bonuses!$BO$3,IF(OR(LEFT(A275)="Q",LEFT(A275)="R"),Bonuses!$BQ$3,Bonuses!$BP$3))</f>
        <v>50</v>
      </c>
      <c r="E275" s="125">
        <f t="shared" si="22"/>
        <v>7.5</v>
      </c>
      <c r="F275" s="125">
        <f t="shared" si="23"/>
        <v>2.5</v>
      </c>
      <c r="G275" s="84" t="str">
        <f t="shared" ref="G275:G280" si="25">15*(1+K275)&amp;" Feet"</f>
        <v>15 Feet</v>
      </c>
      <c r="H275" s="85" t="str">
        <f>(15*MAX(1,K275))&amp;"*D-5 Mins"</f>
        <v>15*D-5 Mins</v>
      </c>
      <c r="I275" s="94" t="str">
        <f>CONCATENATE(1000 + (K275*500),"'cu. ",60+(K275*2),"% Light -",5+K275,"% Penalty")</f>
        <v>1000'cu. 60% Light -5% Penalty</v>
      </c>
      <c r="J275" s="394">
        <v>75</v>
      </c>
      <c r="K275" s="80">
        <f>IF(ISERROR(C275*1),-1,C275+IF(LEFT(A275)="T",Bonuses!$BR$3,IF(LEFT(A275)="G",Bonuses!$BS$3,IF(LEFT(A275)="Q",Bonuses!$BT$3,IF(LEFT(A275)="S",Bonuses!$BU$3,IF(LEFT(A275)="R",Bonuses!$BV$3,0))))))+P275</f>
        <v>0</v>
      </c>
      <c r="L275" s="80">
        <v>1</v>
      </c>
      <c r="M275" s="75">
        <v>50</v>
      </c>
      <c r="N275" s="75">
        <v>3</v>
      </c>
      <c r="O275" s="380"/>
      <c r="P275" s="380"/>
      <c r="Q275" s="86">
        <f>MAX((MAX(Stats!$E$2,Ranking!$C$13)-15)*5,0)</f>
        <v>0</v>
      </c>
      <c r="R275" s="83">
        <v>300</v>
      </c>
      <c r="T275" s="5">
        <f t="shared" si="24"/>
        <v>15</v>
      </c>
      <c r="U275" s="426">
        <v>0.3</v>
      </c>
      <c r="V275" s="430"/>
      <c r="W275" s="5"/>
      <c r="X275" s="5" t="s">
        <v>1433</v>
      </c>
      <c r="AC275" s="5">
        <v>15</v>
      </c>
      <c r="AD275" s="34">
        <v>25</v>
      </c>
      <c r="AE275" s="5">
        <v>-10</v>
      </c>
      <c r="AF275" s="5">
        <v>5</v>
      </c>
    </row>
    <row r="276" spans="1:32" ht="12.75" x14ac:dyDescent="0.2">
      <c r="A276" s="95" t="s">
        <v>243</v>
      </c>
      <c r="B276" s="79" t="s">
        <v>790</v>
      </c>
      <c r="C276" s="126">
        <v>0</v>
      </c>
      <c r="D276" s="125">
        <f>M276+O276+(K276*N276)+IF(OR(LEFT(A276)="G",LEFT(A276)="S"),Stats!$E$3-15+Bonuses!$BO$3,IF(OR(LEFT(A276)="Q",LEFT(A276)="R"),Bonuses!$BQ$3,Bonuses!$BP$3))</f>
        <v>50</v>
      </c>
      <c r="E276" s="125">
        <f t="shared" si="22"/>
        <v>7.5</v>
      </c>
      <c r="F276" s="125">
        <f t="shared" si="23"/>
        <v>2.5</v>
      </c>
      <c r="G276" s="84" t="str">
        <f t="shared" si="25"/>
        <v>15 Feet</v>
      </c>
      <c r="H276" s="85" t="str">
        <f>(15*MAX(1,K276))&amp;"*D-5 Mins"</f>
        <v>15*D-5 Mins</v>
      </c>
      <c r="I276" s="94" t="str">
        <f>CONCATENATE(1000 + (K276*500),"'cu. ",60+(K276*2),"% Dark -",5+K276,"% Penalty")</f>
        <v>1000'cu. 60% Dark -5% Penalty</v>
      </c>
      <c r="J276" s="394">
        <v>75</v>
      </c>
      <c r="K276" s="80">
        <f>IF(ISERROR(C276*1),-1,C276+IF(LEFT(A276)="T",Bonuses!$BR$3,IF(LEFT(A276)="G",Bonuses!$BS$3,IF(LEFT(A276)="Q",Bonuses!$BT$3,IF(LEFT(A276)="S",Bonuses!$BU$3,IF(LEFT(A276)="R",Bonuses!$BV$3,0))))))+P276</f>
        <v>0</v>
      </c>
      <c r="L276" s="80">
        <v>1</v>
      </c>
      <c r="M276" s="75">
        <v>50</v>
      </c>
      <c r="N276" s="75">
        <v>3</v>
      </c>
      <c r="O276" s="380"/>
      <c r="P276" s="380"/>
      <c r="Q276" s="86">
        <f>MAX((MAX(Stats!$E$2,Ranking!$C$13)-15)*5,0)</f>
        <v>0</v>
      </c>
      <c r="R276" s="83">
        <v>300</v>
      </c>
      <c r="T276" s="5">
        <f t="shared" si="24"/>
        <v>10</v>
      </c>
      <c r="U276" s="426">
        <v>0.4</v>
      </c>
      <c r="V276" s="430"/>
      <c r="W276" s="5"/>
      <c r="X276" s="5" t="s">
        <v>1434</v>
      </c>
      <c r="AC276" s="5">
        <v>10</v>
      </c>
      <c r="AD276" s="34">
        <v>15</v>
      </c>
      <c r="AE276" s="5">
        <v>-5</v>
      </c>
      <c r="AF276" s="5">
        <v>5</v>
      </c>
    </row>
    <row r="277" spans="1:32" ht="12.75" x14ac:dyDescent="0.2">
      <c r="A277" s="95" t="s">
        <v>245</v>
      </c>
      <c r="B277" s="79" t="s">
        <v>960</v>
      </c>
      <c r="C277" s="126">
        <v>0</v>
      </c>
      <c r="D277" s="125">
        <f>M277+O277+(K277*N277)+IF(OR(LEFT(A277)="G",LEFT(A277)="S"),Stats!$E$3-15+Bonuses!$BO$3,IF(OR(LEFT(A277)="Q",LEFT(A277)="R"),Bonuses!$BQ$3,Bonuses!$BP$3))</f>
        <v>10</v>
      </c>
      <c r="E277" s="125">
        <f t="shared" si="22"/>
        <v>1.5</v>
      </c>
      <c r="F277" s="125">
        <f t="shared" si="23"/>
        <v>0.5</v>
      </c>
      <c r="G277" s="84" t="str">
        <f t="shared" si="25"/>
        <v>15 Feet</v>
      </c>
      <c r="H277" s="85" t="str">
        <f>ROUND(1/2*(1+K277),1)&amp;" Hours"</f>
        <v>0.5 Hours</v>
      </c>
      <c r="I277" s="94" t="str">
        <f>CONCATENATE("+",2 + (K277*2),"% to Defence ")</f>
        <v xml:space="preserve">+2% to Defence </v>
      </c>
      <c r="J277" s="394">
        <v>150</v>
      </c>
      <c r="K277" s="80">
        <f>IF(ISERROR(C277*1),-1,C277+IF(LEFT(A277)="T",Bonuses!$BR$3,IF(LEFT(A277)="G",Bonuses!$BS$3,IF(LEFT(A277)="Q",Bonuses!$BT$3,IF(LEFT(A277)="S",Bonuses!$BU$3,IF(LEFT(A277)="R",Bonuses!$BV$3,0))))))+P277</f>
        <v>0</v>
      </c>
      <c r="L277" s="80">
        <v>1</v>
      </c>
      <c r="M277" s="75">
        <v>10</v>
      </c>
      <c r="N277" s="75">
        <v>3</v>
      </c>
      <c r="O277" s="380"/>
      <c r="P277" s="380"/>
      <c r="Q277" s="86">
        <f>MAX((MAX(Stats!$E$2,Ranking!$C$13)-15)*5,0)</f>
        <v>0</v>
      </c>
      <c r="R277" s="83">
        <v>300</v>
      </c>
      <c r="T277" s="5">
        <f t="shared" si="24"/>
        <v>5</v>
      </c>
      <c r="U277" s="426">
        <v>0.5</v>
      </c>
      <c r="V277" s="431"/>
      <c r="W277" s="5"/>
      <c r="X277" s="5" t="s">
        <v>1435</v>
      </c>
      <c r="AC277" s="5">
        <v>5</v>
      </c>
      <c r="AD277" s="34">
        <v>10</v>
      </c>
      <c r="AE277" s="5">
        <v>0</v>
      </c>
      <c r="AF277" s="5">
        <v>0</v>
      </c>
    </row>
    <row r="278" spans="1:32" ht="12.75" x14ac:dyDescent="0.2">
      <c r="A278" s="95" t="s">
        <v>246</v>
      </c>
      <c r="B278" s="79" t="s">
        <v>791</v>
      </c>
      <c r="C278" s="126">
        <v>0</v>
      </c>
      <c r="D278" s="125">
        <f>M278+O278+(K278*N278)+IF(OR(LEFT(A278)="G",LEFT(A278)="S"),Stats!$E$3-15+Bonuses!$BO$3,IF(OR(LEFT(A278)="Q",LEFT(A278)="R"),Bonuses!$BQ$3,Bonuses!$BP$3))</f>
        <v>20</v>
      </c>
      <c r="E278" s="125">
        <f t="shared" si="22"/>
        <v>3</v>
      </c>
      <c r="F278" s="125">
        <f t="shared" si="23"/>
        <v>1</v>
      </c>
      <c r="G278" s="84" t="str">
        <f t="shared" si="25"/>
        <v>15 Feet</v>
      </c>
      <c r="H278" s="85" t="str">
        <f>10*(1+K278)&amp;" Mins"</f>
        <v>10 Mins</v>
      </c>
      <c r="I278" s="94" t="str">
        <f>CONCATENATE("10.20Wl;10h.5rRg;15h.5dPr. +",K278," D-5+",K278)</f>
        <v>10.20Wl;10h.5rRg;15h.5dPr. +0 D-5+0</v>
      </c>
      <c r="J278" s="394">
        <f>IF(AND(ISERROR(SEARCH("Solar",$B$270)),ISERROR(SEARCH("Star",$B$270))),150,100)</f>
        <v>100</v>
      </c>
      <c r="K278" s="80">
        <f>IF(ISERROR(C278*1),-1,C278+IF(LEFT(A278)="T",Bonuses!$BR$3,IF(LEFT(A278)="G",Bonuses!$BS$3,IF(LEFT(A278)="Q",Bonuses!$BT$3,IF(LEFT(A278)="S",Bonuses!$BU$3,IF(LEFT(A278)="R",Bonuses!$BV$3,0))))))+P278</f>
        <v>0</v>
      </c>
      <c r="L278" s="80">
        <v>1</v>
      </c>
      <c r="M278" s="80">
        <f>IF(AND(ISERROR(SEARCH("Solar",$B$270)),ISERROR(SEARCH("Star",$B$270))),15,20)</f>
        <v>20</v>
      </c>
      <c r="N278" s="75">
        <v>3</v>
      </c>
      <c r="O278" s="380"/>
      <c r="P278" s="380"/>
      <c r="Q278" s="86">
        <f>MAX((MAX(Stats!$E$2,Ranking!$C$13)-15)*5,0)</f>
        <v>0</v>
      </c>
      <c r="R278" s="83">
        <v>300</v>
      </c>
      <c r="T278" s="5">
        <f t="shared" si="24"/>
        <v>0</v>
      </c>
      <c r="U278" s="426">
        <v>0.6</v>
      </c>
      <c r="V278" s="431"/>
      <c r="W278" s="5"/>
      <c r="X278" s="5" t="s">
        <v>1436</v>
      </c>
      <c r="AC278" s="5">
        <v>0</v>
      </c>
      <c r="AD278" s="34">
        <v>5</v>
      </c>
      <c r="AE278" s="5">
        <v>5</v>
      </c>
      <c r="AF278" s="5">
        <v>-5</v>
      </c>
    </row>
    <row r="279" spans="1:32" ht="12.75" x14ac:dyDescent="0.2">
      <c r="A279" s="95" t="s">
        <v>247</v>
      </c>
      <c r="B279" s="79" t="s">
        <v>792</v>
      </c>
      <c r="C279" s="126">
        <v>0</v>
      </c>
      <c r="D279" s="125">
        <f>M279+O279+(K279*N279)+IF(OR(LEFT(A279)="G",LEFT(A279)="S"),Stats!$E$3-15+Bonuses!$BO$3,IF(OR(LEFT(A279)="Q",LEFT(A279)="R"),Bonuses!$BQ$3,Bonuses!$BP$3))</f>
        <v>20</v>
      </c>
      <c r="E279" s="125">
        <f t="shared" si="22"/>
        <v>3</v>
      </c>
      <c r="F279" s="125">
        <f t="shared" si="23"/>
        <v>1</v>
      </c>
      <c r="G279" s="84" t="str">
        <f t="shared" si="25"/>
        <v>15 Feet</v>
      </c>
      <c r="H279" s="85" t="str">
        <f>10*(1+K279)&amp;" Mins"</f>
        <v>10 Mins</v>
      </c>
      <c r="I279" s="94" t="str">
        <f>CONCATENATE("10.20Wl;10h.5rRg;15h.5dPr. +",K279," D-5+",K279)</f>
        <v>10.20Wl;10h.5rRg;15h.5dPr. +0 D-5+0</v>
      </c>
      <c r="J279" s="394">
        <f>IF(AND(ISERROR(SEARCH("Dark",$B$270)),ISERROR(SEARCH("Shadow",$B$270))),150,100)</f>
        <v>100</v>
      </c>
      <c r="K279" s="80">
        <f>IF(ISERROR(C279*1),-1,C279+IF(LEFT(A279)="T",Bonuses!$BR$3,IF(LEFT(A279)="G",Bonuses!$BS$3,IF(LEFT(A279)="Q",Bonuses!$BT$3,IF(LEFT(A279)="S",Bonuses!$BU$3,IF(LEFT(A279)="R",Bonuses!$BV$3,0))))))+P279</f>
        <v>0</v>
      </c>
      <c r="L279" s="80">
        <v>1</v>
      </c>
      <c r="M279" s="80">
        <f>IF(AND(ISERROR(SEARCH("Dark",$B$270)),ISERROR(SEARCH("Shadow",$B$270))),15,20)</f>
        <v>20</v>
      </c>
      <c r="N279" s="75">
        <v>3</v>
      </c>
      <c r="O279" s="380"/>
      <c r="P279" s="380"/>
      <c r="Q279" s="86">
        <f>MAX((MAX(Stats!$E$2,Ranking!$C$13)-15)*5,0)</f>
        <v>0</v>
      </c>
      <c r="R279" s="83">
        <v>300</v>
      </c>
      <c r="T279" s="5">
        <f t="shared" si="24"/>
        <v>-5</v>
      </c>
      <c r="U279" s="426">
        <v>0.7</v>
      </c>
      <c r="V279" s="432"/>
      <c r="W279" s="5"/>
      <c r="X279" s="5" t="s">
        <v>1437</v>
      </c>
      <c r="AC279" s="5">
        <v>-5</v>
      </c>
      <c r="AD279" s="34">
        <v>0</v>
      </c>
      <c r="AE279" s="5">
        <v>5</v>
      </c>
      <c r="AF279" s="5">
        <v>-10</v>
      </c>
    </row>
    <row r="280" spans="1:32" ht="12.75" x14ac:dyDescent="0.2">
      <c r="A280" s="95" t="s">
        <v>248</v>
      </c>
      <c r="B280" s="79" t="s">
        <v>793</v>
      </c>
      <c r="C280" s="126">
        <v>0</v>
      </c>
      <c r="D280" s="125">
        <f>M280+O280+(K280*N280)+IF(OR(LEFT(A280)="G",LEFT(A280)="S"),Stats!$E$3-15+Bonuses!$BO$3,IF(OR(LEFT(A280)="Q",LEFT(A280)="R"),Bonuses!$BQ$3,Bonuses!$BP$3))</f>
        <v>15</v>
      </c>
      <c r="E280" s="125">
        <f t="shared" si="22"/>
        <v>2.25</v>
      </c>
      <c r="F280" s="125">
        <f t="shared" si="23"/>
        <v>0.75</v>
      </c>
      <c r="G280" s="84" t="str">
        <f t="shared" si="25"/>
        <v>15 Feet</v>
      </c>
      <c r="H280" s="85" t="str">
        <f>ROUND(1/2*(1+K280),1)&amp;" Hours"</f>
        <v>0.5 Hours</v>
      </c>
      <c r="I280" s="94" t="str">
        <f>"See 150' in Dark, Unseen, Invis &lt; rk "&amp;K280+1</f>
        <v>See 150' in Dark, Unseen, Invis &lt; rk 1</v>
      </c>
      <c r="J280" s="394">
        <v>150</v>
      </c>
      <c r="K280" s="80">
        <f>IF(ISERROR(C280*1),-1,C280+IF(LEFT(A280)="T",Bonuses!$BR$3,IF(LEFT(A280)="G",Bonuses!$BS$3,IF(LEFT(A280)="Q",Bonuses!$BT$3,IF(LEFT(A280)="S",Bonuses!$BU$3,IF(LEFT(A280)="R",Bonuses!$BV$3,0))))))+P280</f>
        <v>0</v>
      </c>
      <c r="L280" s="80">
        <v>1</v>
      </c>
      <c r="M280" s="75">
        <v>15</v>
      </c>
      <c r="N280" s="75">
        <v>3</v>
      </c>
      <c r="O280" s="380"/>
      <c r="P280" s="380"/>
      <c r="Q280" s="86">
        <f>MAX((MAX(Stats!$E$2,Ranking!$C$13)-15)*5,0)</f>
        <v>0</v>
      </c>
      <c r="R280" s="83">
        <v>300</v>
      </c>
      <c r="T280" s="5">
        <f t="shared" si="24"/>
        <v>-10</v>
      </c>
      <c r="U280" s="426">
        <v>0.8</v>
      </c>
      <c r="V280" s="432"/>
      <c r="W280" s="5"/>
      <c r="X280" s="5" t="s">
        <v>1438</v>
      </c>
      <c r="AC280" s="5">
        <v>-10</v>
      </c>
      <c r="AD280" s="34">
        <v>-5</v>
      </c>
      <c r="AE280" s="5">
        <v>10</v>
      </c>
      <c r="AF280" s="5">
        <v>-15</v>
      </c>
    </row>
    <row r="281" spans="1:32" ht="12.75" x14ac:dyDescent="0.2">
      <c r="A281" s="96" t="s">
        <v>249</v>
      </c>
      <c r="B281" s="87" t="s">
        <v>291</v>
      </c>
      <c r="C281" s="126">
        <v>0</v>
      </c>
      <c r="D281" s="125">
        <f>M281+O281+(K281*N281)+IF(OR(LEFT(A281)="G",LEFT(A281)="S"),Stats!$E$3-15+Bonuses!$BO$3,IF(OR(LEFT(A281)="Q",LEFT(A281)="R"),Bonuses!$BQ$3,Bonuses!$BP$3))</f>
        <v>50</v>
      </c>
      <c r="E281" s="125">
        <f t="shared" si="22"/>
        <v>7.5</v>
      </c>
      <c r="F281" s="125">
        <f t="shared" si="23"/>
        <v>2.5</v>
      </c>
      <c r="G281" s="84" t="str">
        <f>1*(1+K281)&amp;" Feet"</f>
        <v>1 Feet</v>
      </c>
      <c r="H281" s="85" t="str">
        <f>1*(1+K281)&amp;" Hours"</f>
        <v>1 Hours</v>
      </c>
      <c r="J281" s="395">
        <v>100</v>
      </c>
      <c r="K281" s="80">
        <f>IF(ISERROR(C281*1),-1,C281+IF(LEFT(A281)="T",Bonuses!$BR$3,IF(LEFT(A281)="G",Bonuses!$BS$3,IF(LEFT(A281)="Q",Bonuses!$BT$3,IF(LEFT(A281)="S",Bonuses!$BU$3,IF(LEFT(A281)="R",Bonuses!$BV$3,0))))))+P281</f>
        <v>0</v>
      </c>
      <c r="L281" s="80">
        <v>1</v>
      </c>
      <c r="M281" s="89">
        <v>50</v>
      </c>
      <c r="N281" s="75">
        <v>3</v>
      </c>
      <c r="O281" s="380"/>
      <c r="P281" s="380"/>
      <c r="Q281" s="86">
        <f>MAX((MAX(Stats!$E$2,Ranking!$C$13)-15)*5,0)</f>
        <v>0</v>
      </c>
      <c r="R281" s="83">
        <v>300</v>
      </c>
      <c r="T281" s="5">
        <f t="shared" si="24"/>
        <v>-15</v>
      </c>
      <c r="U281" s="426">
        <v>0.9</v>
      </c>
      <c r="V281" s="433"/>
      <c r="W281" s="5"/>
      <c r="X281" s="5" t="s">
        <v>1439</v>
      </c>
      <c r="AC281" s="5">
        <v>-15</v>
      </c>
      <c r="AD281" s="34">
        <v>-10</v>
      </c>
      <c r="AE281" s="5">
        <v>15</v>
      </c>
      <c r="AF281" s="5">
        <v>-20</v>
      </c>
    </row>
    <row r="282" spans="1:32" ht="12.75" x14ac:dyDescent="0.2">
      <c r="A282" s="96" t="s">
        <v>964</v>
      </c>
      <c r="B282" s="87" t="s">
        <v>963</v>
      </c>
      <c r="C282" s="126">
        <v>0</v>
      </c>
      <c r="D282" s="125">
        <f>M282+O282+(K282*N282)+IF(OR(LEFT(A282)="G",LEFT(A282)="S"),Stats!$E$3-15+Bonuses!$BO$3,IF(OR(LEFT(A282)="Q",LEFT(A282)="R"),Bonuses!$BQ$3,Bonuses!$BP$3))</f>
        <v>15</v>
      </c>
      <c r="E282" s="125">
        <f t="shared" si="22"/>
        <v>2.25</v>
      </c>
      <c r="F282" s="125">
        <f t="shared" si="23"/>
        <v>0.75</v>
      </c>
      <c r="G282" s="84" t="s">
        <v>616</v>
      </c>
      <c r="H282" s="85" t="str">
        <f>10*(1+K282)&amp;" Mins"</f>
        <v>10 Mins</v>
      </c>
      <c r="I282" s="90" t="str">
        <f>"+"&amp;2+(2*K282)&amp;"% MR vs Light"</f>
        <v>+2% MR vs Light</v>
      </c>
      <c r="J282" s="395">
        <v>200</v>
      </c>
      <c r="K282" s="80">
        <f>IF(ISERROR(C282*1),-1,C282+IF(LEFT(A282)="T",Bonuses!$BR$3,IF(LEFT(A282)="G",Bonuses!$BS$3,IF(LEFT(A282)="Q",Bonuses!$BT$3,IF(LEFT(A282)="S",Bonuses!$BU$3,IF(LEFT(A282)="R",Bonuses!$BV$3,0))))))+P282</f>
        <v>0</v>
      </c>
      <c r="L282" s="80">
        <v>1</v>
      </c>
      <c r="M282" s="89">
        <v>15</v>
      </c>
      <c r="N282" s="75">
        <v>3</v>
      </c>
      <c r="O282" s="380"/>
      <c r="P282" s="380"/>
      <c r="Q282" s="86">
        <f>MAX((MAX(Stats!$E$2,Ranking!$C$13)-15)*5,0)</f>
        <v>0</v>
      </c>
      <c r="R282" s="83">
        <v>300</v>
      </c>
      <c r="T282" s="5">
        <f t="shared" si="24"/>
        <v>-20</v>
      </c>
      <c r="U282" s="426">
        <v>0.95</v>
      </c>
      <c r="V282" s="5"/>
      <c r="W282" s="5"/>
      <c r="X282" s="5" t="s">
        <v>1440</v>
      </c>
      <c r="AC282" s="5">
        <v>-20</v>
      </c>
      <c r="AD282" s="34">
        <v>-15</v>
      </c>
      <c r="AE282" s="5">
        <v>20</v>
      </c>
      <c r="AF282" s="5">
        <v>-20</v>
      </c>
    </row>
    <row r="283" spans="1:32" ht="12.75" x14ac:dyDescent="0.2">
      <c r="A283" s="96" t="s">
        <v>965</v>
      </c>
      <c r="B283" s="87" t="s">
        <v>966</v>
      </c>
      <c r="C283" s="126">
        <v>0</v>
      </c>
      <c r="D283" s="125">
        <f>M283+O283+(K283*N283)+IF(OR(LEFT(A283)="G",LEFT(A283)="S"),Stats!$E$3-15+Bonuses!$BO$3,IF(OR(LEFT(A283)="Q",LEFT(A283)="R"),Bonuses!$BQ$3,Bonuses!$BP$3))</f>
        <v>15</v>
      </c>
      <c r="E283" s="125">
        <f t="shared" si="22"/>
        <v>2.25</v>
      </c>
      <c r="F283" s="125">
        <f t="shared" ref="F283:F288" si="26">D283*0.05</f>
        <v>0.75</v>
      </c>
      <c r="G283" s="84" t="str">
        <f>15+(0*K283)&amp;" Feet"</f>
        <v>15 Feet</v>
      </c>
      <c r="H283" s="85" t="str">
        <f>10*(1+K283)&amp;" Mins"</f>
        <v>10 Mins</v>
      </c>
      <c r="I283" s="90" t="str">
        <f>"1"" circle "&amp;IF(K283&lt;6,"Glows",IF(K283&lt;11,"Candlelight",IF(K283&lt;16,"Torchlight","Lantern Light")))</f>
        <v>1" circle Glows</v>
      </c>
      <c r="J283" s="395">
        <v>200</v>
      </c>
      <c r="K283" s="80">
        <f>IF(ISERROR(C283*1),-1,C283+IF(LEFT(A283)="T",Bonuses!$BR$3,IF(LEFT(A283)="G",Bonuses!$BS$3,IF(LEFT(A283)="Q",Bonuses!$BT$3,IF(LEFT(A283)="S",Bonuses!$BU$3,IF(LEFT(A283)="R",Bonuses!$BV$3,0))))))+P283</f>
        <v>0</v>
      </c>
      <c r="L283" s="80">
        <v>1</v>
      </c>
      <c r="M283" s="89">
        <v>15</v>
      </c>
      <c r="N283" s="75">
        <v>3</v>
      </c>
      <c r="O283" s="380"/>
      <c r="P283" s="380"/>
      <c r="Q283" s="86">
        <f>MAX((MAX(Stats!$E$2,Ranking!$C$13)-15)*5,0)</f>
        <v>0</v>
      </c>
      <c r="R283" s="83">
        <v>300</v>
      </c>
      <c r="T283" s="5">
        <f t="shared" si="24"/>
        <v>-25</v>
      </c>
      <c r="U283" s="426">
        <v>0.99</v>
      </c>
      <c r="V283" s="5"/>
      <c r="W283" s="5"/>
      <c r="X283" s="5" t="s">
        <v>1441</v>
      </c>
      <c r="AC283" s="5">
        <v>-25</v>
      </c>
      <c r="AD283" s="34">
        <v>-20</v>
      </c>
      <c r="AE283" s="5">
        <v>25</v>
      </c>
      <c r="AF283" s="5">
        <v>-25</v>
      </c>
    </row>
    <row r="284" spans="1:32" ht="12.75" x14ac:dyDescent="0.2">
      <c r="A284" s="96" t="s">
        <v>967</v>
      </c>
      <c r="B284" s="87" t="s">
        <v>968</v>
      </c>
      <c r="C284" s="126">
        <v>0</v>
      </c>
      <c r="D284" s="125">
        <f>M284+O284+(K284*N284)+IF(OR(LEFT(A284)="G",LEFT(A284)="S"),Stats!$E$3-15+Bonuses!$BO$3,IF(OR(LEFT(A284)="Q",LEFT(A284)="R"),Bonuses!$BQ$3,Bonuses!$BP$3))</f>
        <v>15</v>
      </c>
      <c r="E284" s="125">
        <f t="shared" si="22"/>
        <v>2.25</v>
      </c>
      <c r="F284" s="125">
        <f t="shared" si="26"/>
        <v>0.75</v>
      </c>
      <c r="G284" s="84" t="s">
        <v>616</v>
      </c>
      <c r="H284" s="85" t="str">
        <f>10*(1+K284)&amp;" Mins"</f>
        <v>10 Mins</v>
      </c>
      <c r="I284" s="90" t="str">
        <f>"+"&amp;5+K284&amp;"% reactions"</f>
        <v>+5% reactions</v>
      </c>
      <c r="J284" s="395">
        <v>200</v>
      </c>
      <c r="K284" s="80">
        <f>IF(ISERROR(C284*1),-1,C284+IF(LEFT(A284)="T",Bonuses!$BR$3,IF(LEFT(A284)="G",Bonuses!$BS$3,IF(LEFT(A284)="Q",Bonuses!$BT$3,IF(LEFT(A284)="S",Bonuses!$BU$3,IF(LEFT(A284)="R",Bonuses!$BV$3,0))))))+P284</f>
        <v>0</v>
      </c>
      <c r="L284" s="80">
        <v>1</v>
      </c>
      <c r="M284" s="89">
        <v>15</v>
      </c>
      <c r="N284" s="75">
        <v>3</v>
      </c>
      <c r="O284" s="380"/>
      <c r="P284" s="380"/>
      <c r="Q284" s="86">
        <f>MAX((MAX(Stats!$E$2,Ranking!$C$13)-15)*5,0)</f>
        <v>0</v>
      </c>
      <c r="R284" s="83">
        <v>300</v>
      </c>
      <c r="T284" s="5"/>
      <c r="U284" s="5"/>
      <c r="V284" s="5"/>
      <c r="W284" s="5"/>
      <c r="X284" s="5"/>
      <c r="AC284" s="5"/>
    </row>
    <row r="285" spans="1:32" ht="12.75" x14ac:dyDescent="0.2">
      <c r="A285" s="96" t="s">
        <v>962</v>
      </c>
      <c r="B285" s="87" t="s">
        <v>969</v>
      </c>
      <c r="C285" s="126">
        <v>0</v>
      </c>
      <c r="D285" s="125">
        <f>M285+O285+(K285*N285)+IF(OR(LEFT(A285)="G",LEFT(A285)="S"),Stats!$E$3-15+Bonuses!$BO$3,IF(OR(LEFT(A285)="Q",LEFT(A285)="R"),Bonuses!$BQ$3,Bonuses!$BP$3))</f>
        <v>15</v>
      </c>
      <c r="E285" s="125">
        <f t="shared" si="22"/>
        <v>2.25</v>
      </c>
      <c r="F285" s="125">
        <f t="shared" si="26"/>
        <v>0.75</v>
      </c>
      <c r="G285" s="84" t="str">
        <f>15+(0*K285)&amp;" Feet"</f>
        <v>15 Feet</v>
      </c>
      <c r="H285" s="85" t="str">
        <f>10*(1+K285)&amp;" Mins"</f>
        <v>10 Mins</v>
      </c>
      <c r="I285" s="90" t="str">
        <f>"+"&amp;1+ROUND(K285/2,0)&amp;" to PS"</f>
        <v>+1 to PS</v>
      </c>
      <c r="J285" s="395">
        <v>200</v>
      </c>
      <c r="K285" s="80">
        <f>IF(ISERROR(C285*1),-1,C285+IF(LEFT(A285)="T",Bonuses!$BR$3,IF(LEFT(A285)="G",Bonuses!$BS$3,IF(LEFT(A285)="Q",Bonuses!$BT$3,IF(LEFT(A285)="S",Bonuses!$BU$3,IF(LEFT(A285)="R",Bonuses!$BV$3,0))))))+P285</f>
        <v>0</v>
      </c>
      <c r="L285" s="80">
        <v>1</v>
      </c>
      <c r="M285" s="89">
        <v>15</v>
      </c>
      <c r="N285" s="75">
        <v>3</v>
      </c>
      <c r="O285" s="380"/>
      <c r="P285" s="380"/>
      <c r="Q285" s="86">
        <f>MAX((MAX(Stats!$E$2,Ranking!$C$13)-15)*5,0)</f>
        <v>0</v>
      </c>
      <c r="R285" s="83">
        <v>300</v>
      </c>
      <c r="T285" s="5"/>
      <c r="U285" s="5"/>
      <c r="V285" s="5"/>
      <c r="W285" s="5"/>
      <c r="X285" s="5"/>
      <c r="AC285" s="5"/>
    </row>
    <row r="286" spans="1:32" x14ac:dyDescent="0.2">
      <c r="A286" s="96" t="s">
        <v>268</v>
      </c>
      <c r="B286" s="79" t="s">
        <v>795</v>
      </c>
      <c r="C286" s="126">
        <v>0</v>
      </c>
      <c r="D286" s="125">
        <f>M286+O286+(K286*N286)+IF(OR(LEFT(A286)="G",LEFT(A286)="S"),Stats!$E$3-15+Bonuses!$BO$3,IF(OR(LEFT(A286)="Q",LEFT(A286)="R"),Bonuses!$BQ$3,Bonuses!$BP$3))</f>
        <v>40</v>
      </c>
      <c r="E286" s="125">
        <f t="shared" si="22"/>
        <v>6</v>
      </c>
      <c r="F286" s="125">
        <f t="shared" si="26"/>
        <v>2</v>
      </c>
      <c r="G286" s="84" t="str">
        <f>25+(25*K286)&amp;" Feet"</f>
        <v>25 Feet</v>
      </c>
      <c r="H286" s="88" t="str">
        <f>"D+"&amp;5+K286&amp;" Mins"</f>
        <v>D+5 Mins</v>
      </c>
      <c r="I286" s="90" t="str">
        <f>CONCATENATE("+",30 + (K286*3)," to MR.")</f>
        <v>+30 to MR.</v>
      </c>
      <c r="J286" s="395">
        <v>100</v>
      </c>
      <c r="K286" s="80">
        <f>IF(ISERROR(C286*1),-1,C286+IF(LEFT(A286)="T",Bonuses!$BR$3,IF(LEFT(A286)="G",Bonuses!$BS$3,IF(LEFT(A286)="Q",Bonuses!$BT$3,IF(LEFT(A286)="S",Bonuses!$BU$3,IF(LEFT(A286)="R",Bonuses!$BV$3,0))))))+P286</f>
        <v>0</v>
      </c>
      <c r="L286" s="80">
        <v>1</v>
      </c>
      <c r="M286" s="89">
        <v>40</v>
      </c>
      <c r="N286" s="75">
        <v>3</v>
      </c>
      <c r="O286" s="380"/>
      <c r="P286" s="380"/>
      <c r="Q286" s="86">
        <f>MAX((MAX(Stats!$E$2,Ranking!$C$13)-15)*5,0)</f>
        <v>0</v>
      </c>
      <c r="R286" s="83">
        <v>300</v>
      </c>
    </row>
    <row r="287" spans="1:32" x14ac:dyDescent="0.2">
      <c r="A287" s="96" t="s">
        <v>268</v>
      </c>
      <c r="B287" s="87" t="s">
        <v>797</v>
      </c>
      <c r="C287" s="126">
        <v>0</v>
      </c>
      <c r="D287" s="125">
        <f>M287+O287+(K287*N287)+IF(OR(LEFT(A287)="G",LEFT(A287)="S"),Stats!$E$3-15+Bonuses!$BO$3,IF(OR(LEFT(A287)="Q",LEFT(A287)="R"),Bonuses!$BQ$3,Bonuses!$BP$3))</f>
        <v>40</v>
      </c>
      <c r="E287" s="125">
        <f t="shared" si="22"/>
        <v>6</v>
      </c>
      <c r="F287" s="125">
        <f t="shared" si="26"/>
        <v>2</v>
      </c>
      <c r="G287" s="84" t="str">
        <f>25+(25*K287)&amp;" Feet"</f>
        <v>25 Feet</v>
      </c>
      <c r="H287" s="88" t="str">
        <f>"D+"&amp;5+K287&amp;" Mins"</f>
        <v>D+5 Mins</v>
      </c>
      <c r="I287" s="90" t="str">
        <f>CONCATENATE("+",30 + (K287*3)," to MR.")</f>
        <v>+30 to MR.</v>
      </c>
      <c r="J287" s="395">
        <v>200</v>
      </c>
      <c r="K287" s="80">
        <f>IF(ISERROR(C287*1),-1,C287+IF(LEFT(A287)="T",Bonuses!$BR$3,IF(LEFT(A287)="G",Bonuses!$BS$3,IF(LEFT(A287)="Q",Bonuses!$BT$3,IF(LEFT(A287)="S",Bonuses!$BU$3,IF(LEFT(A287)="R",Bonuses!$BV$3,0))))))+P287</f>
        <v>0</v>
      </c>
      <c r="L287" s="80">
        <v>1</v>
      </c>
      <c r="M287" s="89">
        <v>40</v>
      </c>
      <c r="N287" s="75">
        <v>3</v>
      </c>
      <c r="O287" s="380"/>
      <c r="P287" s="380"/>
      <c r="Q287" s="86">
        <f>MAX((MAX(Stats!$E$2,Ranking!$C$13)-15)*5,0)</f>
        <v>0</v>
      </c>
      <c r="R287" s="83">
        <v>300</v>
      </c>
    </row>
    <row r="288" spans="1:32" x14ac:dyDescent="0.2">
      <c r="A288" s="95" t="s">
        <v>251</v>
      </c>
      <c r="B288" s="79" t="s">
        <v>798</v>
      </c>
      <c r="C288" s="126">
        <v>0</v>
      </c>
      <c r="D288" s="125">
        <f>M288+O288+(K288*N288)+IF(OR(LEFT(A288)="G",LEFT(A288)="S"),Stats!$E$3-15+Bonuses!$BO$3,IF(OR(LEFT(A288)="Q",LEFT(A288)="R"),Bonuses!$BQ$3,Bonuses!$BP$3))</f>
        <v>15</v>
      </c>
      <c r="E288" s="125">
        <f t="shared" si="22"/>
        <v>2.25</v>
      </c>
      <c r="F288" s="125">
        <f t="shared" si="26"/>
        <v>0.75</v>
      </c>
      <c r="G288" s="84"/>
      <c r="H288" s="85"/>
      <c r="J288" s="394">
        <v>150</v>
      </c>
      <c r="K288" s="80">
        <f>IF(ISERROR(C288*1),-1,C288+IF(LEFT(A288)="T",Bonuses!$BR$3,IF(LEFT(A288)="G",Bonuses!$BS$3,IF(LEFT(A288)="Q",Bonuses!$BT$3,IF(LEFT(A288)="S",Bonuses!$BU$3,IF(LEFT(A288)="R",Bonuses!$BV$3,0))))))+P288</f>
        <v>0</v>
      </c>
      <c r="L288" s="80">
        <v>7</v>
      </c>
      <c r="M288" s="75">
        <f>Stats!$E$3</f>
        <v>15</v>
      </c>
      <c r="N288" s="75">
        <v>3</v>
      </c>
      <c r="O288" s="380"/>
      <c r="P288" s="380"/>
      <c r="Q288" s="86">
        <f>MAX((MAX(Stats!$E$2,Ranking!$C$13)-15)*5,0)</f>
        <v>0</v>
      </c>
      <c r="R288" s="83">
        <v>300</v>
      </c>
    </row>
    <row r="289" spans="1:19" x14ac:dyDescent="0.2">
      <c r="A289" s="95" t="s">
        <v>251</v>
      </c>
      <c r="B289" s="79" t="s">
        <v>799</v>
      </c>
      <c r="C289" s="126">
        <v>0</v>
      </c>
      <c r="D289" s="125">
        <f>M289+O289+(K289*N289)+IF(OR(LEFT(A289)="G",LEFT(A289)="S"),Stats!$E$3-15+Bonuses!$BO$3,IF(OR(LEFT(A289)="Q",LEFT(A289)="R"),Bonuses!$BQ$3,Bonuses!$BP$3))</f>
        <v>20</v>
      </c>
      <c r="E289" s="125">
        <f t="shared" si="22"/>
        <v>3</v>
      </c>
      <c r="F289" s="125">
        <f t="shared" ref="F289:F304" si="27">D289*0.05</f>
        <v>1</v>
      </c>
      <c r="G289" s="84"/>
      <c r="H289" s="85"/>
      <c r="I289" s="94" t="str">
        <f>CONCATENATE(1+TRUNC(K289/5)," Creatures")</f>
        <v>1 Creatures</v>
      </c>
      <c r="J289" s="394">
        <v>200</v>
      </c>
      <c r="K289" s="80">
        <f>IF(ISERROR(C289*1),-1,C289+IF(LEFT(A289)="T",Bonuses!$BR$3,IF(LEFT(A289)="G",Bonuses!$BS$3,IF(LEFT(A289)="Q",Bonuses!$BT$3,IF(LEFT(A289)="S",Bonuses!$BU$3,IF(LEFT(A289)="R",Bonuses!$BV$3,0))))))+P289</f>
        <v>0</v>
      </c>
      <c r="L289" s="80">
        <v>7</v>
      </c>
      <c r="M289" s="75">
        <v>20</v>
      </c>
      <c r="N289" s="75">
        <v>3</v>
      </c>
      <c r="O289" s="380"/>
      <c r="P289" s="380"/>
      <c r="Q289" s="86">
        <f>MAX((MAX(Stats!$E$2,Ranking!$C$13)-15)*5,0)</f>
        <v>0</v>
      </c>
      <c r="R289" s="83">
        <v>300</v>
      </c>
    </row>
    <row r="290" spans="1:19" s="92" customFormat="1" x14ac:dyDescent="0.2">
      <c r="A290" s="96" t="s">
        <v>298</v>
      </c>
      <c r="B290" s="87" t="s">
        <v>252</v>
      </c>
      <c r="C290" s="126">
        <v>0</v>
      </c>
      <c r="D290" s="125">
        <f>M290+O290+(K290*N290)+IF(OR(LEFT(A290)="G",LEFT(A290)="S"),Stats!$E$3-15+Bonuses!$BO$3,IF(OR(LEFT(A290)="Q",LEFT(A290)="R"),Bonuses!$BQ$3,Bonuses!$BP$3))</f>
        <v>30</v>
      </c>
      <c r="E290" s="125">
        <f t="shared" si="22"/>
        <v>4.5</v>
      </c>
      <c r="F290" s="125">
        <f>D290*0.05</f>
        <v>1.5</v>
      </c>
      <c r="G290" s="81"/>
      <c r="H290" s="88" t="str">
        <f>4+(4*K290)&amp;" Hours"</f>
        <v>4 Hours</v>
      </c>
      <c r="I290" s="90" t="str">
        <f>CONCATENATE("+ ",K290," MR. +",TRUNC(K290/5)," MA.")</f>
        <v>+ 0 MR. +0 MA.</v>
      </c>
      <c r="J290" s="395">
        <v>200</v>
      </c>
      <c r="K290" s="80">
        <f>IF(ISERROR(C290*1),-1,C290+IF(LEFT(A290)="T",Bonuses!$BR$3,IF(LEFT(A290)="G",Bonuses!$BS$3,IF(LEFT(A290)="Q",Bonuses!$BT$3,IF(LEFT(A290)="S",Bonuses!$BU$3,IF(LEFT(A290)="R",Bonuses!$BV$3,0))))))+P290</f>
        <v>0</v>
      </c>
      <c r="L290" s="84">
        <v>7</v>
      </c>
      <c r="M290" s="75">
        <f>Stats!$E$3+Stats!$F$3</f>
        <v>30</v>
      </c>
      <c r="N290" s="75">
        <v>3</v>
      </c>
      <c r="O290" s="380"/>
      <c r="P290" s="380"/>
      <c r="Q290" s="86">
        <f>MAX((MAX(Stats!$E$2,Ranking!$C$13)-15)*5,0)</f>
        <v>0</v>
      </c>
      <c r="R290" s="91">
        <v>300</v>
      </c>
      <c r="S290" s="84"/>
    </row>
    <row r="291" spans="1:19" x14ac:dyDescent="0.2">
      <c r="A291" s="95" t="s">
        <v>253</v>
      </c>
      <c r="B291" s="79" t="s">
        <v>800</v>
      </c>
      <c r="C291" s="126" t="s">
        <v>283</v>
      </c>
      <c r="D291" s="125">
        <f>M291+O291+(K291*N291)+IF(OR(LEFT(A291)="G",LEFT(A291)="S"),Stats!$E$3-15+Bonuses!$BO$3,IF(OR(LEFT(A291)="Q",LEFT(A291)="R"),Bonuses!$BQ$3,Bonuses!$BP$3))</f>
        <v>37</v>
      </c>
      <c r="E291" s="125">
        <f t="shared" si="22"/>
        <v>5.55</v>
      </c>
      <c r="F291" s="125">
        <f t="shared" si="27"/>
        <v>1.85</v>
      </c>
      <c r="G291" s="84" t="s">
        <v>679</v>
      </c>
      <c r="H291" s="85" t="s">
        <v>240</v>
      </c>
      <c r="I291" s="94" t="str">
        <f>CONCATENATE("Cures ",1+ROUND(K291/2,0)," Damage")</f>
        <v>Cures 0 Damage</v>
      </c>
      <c r="J291" s="394">
        <v>200</v>
      </c>
      <c r="K291" s="80">
        <f>IF(ISERROR(C291*1),-1,C291+IF(LEFT(A291)="T",Bonuses!$BR$3,IF(LEFT(A291)="G",Bonuses!$BS$3,IF(LEFT(A291)="Q",Bonuses!$BT$3,IF(LEFT(A291)="S",Bonuses!$BU$3,IF(LEFT(A291)="R",Bonuses!$BV$3,0))))))+P291</f>
        <v>-1</v>
      </c>
      <c r="L291" s="80">
        <v>1</v>
      </c>
      <c r="M291" s="75">
        <v>40</v>
      </c>
      <c r="N291" s="75">
        <v>3</v>
      </c>
      <c r="O291" s="380"/>
      <c r="P291" s="380"/>
      <c r="R291" s="83">
        <v>2000</v>
      </c>
    </row>
    <row r="292" spans="1:19" x14ac:dyDescent="0.2">
      <c r="A292" s="95" t="s">
        <v>254</v>
      </c>
      <c r="B292" s="79" t="s">
        <v>970</v>
      </c>
      <c r="C292" s="126" t="s">
        <v>283</v>
      </c>
      <c r="D292" s="125">
        <f>M292+O292+(K292*N292)+IF(OR(LEFT(A292)="G",LEFT(A292)="S"),Stats!$E$3-15+Bonuses!$BO$3,IF(OR(LEFT(A292)="Q",LEFT(A292)="R"),Bonuses!$BQ$3,Bonuses!$BP$3))</f>
        <v>27</v>
      </c>
      <c r="E292" s="125">
        <f t="shared" si="22"/>
        <v>4.05</v>
      </c>
      <c r="F292" s="125">
        <f t="shared" si="27"/>
        <v>1.35</v>
      </c>
      <c r="G292" s="84" t="str">
        <f>15+(5*K292)&amp;" Feet"</f>
        <v>10 Feet</v>
      </c>
      <c r="H292" s="85" t="str">
        <f>1*(5+K292)&amp;" Mins"</f>
        <v>4 Mins</v>
      </c>
      <c r="I292" s="94" t="str">
        <f>CONCATENATE("+",1 + K292,"% SC +",1+CEILING(K292/3,1)," Dam vs Dark/Light")</f>
        <v>+0% SC +1 Dam vs Dark/Light</v>
      </c>
      <c r="J292" s="394">
        <v>250</v>
      </c>
      <c r="K292" s="80">
        <f>IF(ISERROR(C292*1),-1,C292+IF(LEFT(A292)="T",Bonuses!$BR$3,IF(LEFT(A292)="G",Bonuses!$BS$3,IF(LEFT(A292)="Q",Bonuses!$BT$3,IF(LEFT(A292)="S",Bonuses!$BU$3,IF(LEFT(A292)="R",Bonuses!$BV$3,0))))))+P292</f>
        <v>-1</v>
      </c>
      <c r="L292" s="80">
        <v>1</v>
      </c>
      <c r="M292" s="75">
        <v>30</v>
      </c>
      <c r="N292" s="75">
        <v>3</v>
      </c>
      <c r="O292" s="380"/>
      <c r="P292" s="380"/>
      <c r="R292" s="83">
        <v>1500</v>
      </c>
    </row>
    <row r="293" spans="1:19" x14ac:dyDescent="0.2">
      <c r="A293" s="95" t="s">
        <v>255</v>
      </c>
      <c r="B293" s="79" t="s">
        <v>801</v>
      </c>
      <c r="C293" s="126" t="s">
        <v>283</v>
      </c>
      <c r="D293" s="125">
        <f>M293+O293+(K293*N293)+IF(OR(LEFT(A293)="G",LEFT(A293)="S"),Stats!$E$3-15+Bonuses!$BO$3,IF(OR(LEFT(A293)="Q",LEFT(A293)="R"),Bonuses!$BQ$3,Bonuses!$BP$3))</f>
        <v>32</v>
      </c>
      <c r="E293" s="125">
        <f t="shared" si="22"/>
        <v>4.8</v>
      </c>
      <c r="F293" s="125">
        <f t="shared" si="27"/>
        <v>1.6</v>
      </c>
      <c r="G293" s="84" t="str">
        <f>40+(15*K293)&amp;" Feet"</f>
        <v>25 Feet</v>
      </c>
      <c r="H293" s="85" t="s">
        <v>240</v>
      </c>
      <c r="I293" s="94" t="str">
        <f>CONCATENATE("D-4 + ",K293," Dam.  Res: 0.")</f>
        <v>D-4 + -1 Dam.  Res: 0.</v>
      </c>
      <c r="J293" s="394">
        <v>200</v>
      </c>
      <c r="K293" s="80">
        <f>IF(ISERROR(C293*1),-1,C293+IF(LEFT(A293)="T",Bonuses!$BR$3,IF(LEFT(A293)="G",Bonuses!$BS$3,IF(LEFT(A293)="Q",Bonuses!$BT$3,IF(LEFT(A293)="S",Bonuses!$BU$3,IF(LEFT(A293)="R",Bonuses!$BV$3,0))))))+P293</f>
        <v>-1</v>
      </c>
      <c r="L293" s="80">
        <v>1</v>
      </c>
      <c r="M293" s="75">
        <v>35</v>
      </c>
      <c r="N293" s="75">
        <v>3</v>
      </c>
      <c r="O293" s="380"/>
      <c r="P293" s="380"/>
      <c r="R293" s="83">
        <v>3000</v>
      </c>
    </row>
    <row r="294" spans="1:19" x14ac:dyDescent="0.2">
      <c r="A294" s="95" t="s">
        <v>256</v>
      </c>
      <c r="B294" s="79" t="s">
        <v>802</v>
      </c>
      <c r="C294" s="126" t="s">
        <v>283</v>
      </c>
      <c r="D294" s="125">
        <f>M294+O294+(K294*N294)+IF(OR(LEFT(A294)="G",LEFT(A294)="S"),Stats!$E$3-15+Bonuses!$BO$3,IF(OR(LEFT(A294)="Q",LEFT(A294)="R"),Bonuses!$BQ$3,Bonuses!$BP$3))</f>
        <v>7</v>
      </c>
      <c r="E294" s="125">
        <f t="shared" si="22"/>
        <v>1.05</v>
      </c>
      <c r="F294" s="125">
        <f t="shared" si="27"/>
        <v>0.35000000000000003</v>
      </c>
      <c r="G294" s="84" t="str">
        <f>60+(15*K294)&amp;" Feet"</f>
        <v>45 Feet</v>
      </c>
      <c r="H294" s="85" t="str">
        <f>"Dly: "&amp;120-(10*K294)&amp;" secs"</f>
        <v>Dly: 130 secs</v>
      </c>
      <c r="I294" s="94" t="str">
        <f>CONCATENATE("D-4 + ",K294," Dam.  Res: 0.")</f>
        <v>D-4 + -1 Dam.  Res: 0.</v>
      </c>
      <c r="J294" s="394">
        <v>200</v>
      </c>
      <c r="K294" s="80">
        <f>IF(ISERROR(C294*1),-1,C294+IF(LEFT(A294)="T",Bonuses!$BR$3,IF(LEFT(A294)="G",Bonuses!$BS$3,IF(LEFT(A294)="Q",Bonuses!$BT$3,IF(LEFT(A294)="S",Bonuses!$BU$3,IF(LEFT(A294)="R",Bonuses!$BV$3,0))))))+P294</f>
        <v>-1</v>
      </c>
      <c r="L294" s="80">
        <v>1</v>
      </c>
      <c r="M294" s="75">
        <v>10</v>
      </c>
      <c r="N294" s="75">
        <v>3</v>
      </c>
      <c r="O294" s="380"/>
      <c r="P294" s="380"/>
      <c r="R294" s="83">
        <v>2000</v>
      </c>
    </row>
    <row r="295" spans="1:19" x14ac:dyDescent="0.2">
      <c r="A295" s="95" t="s">
        <v>257</v>
      </c>
      <c r="B295" s="79" t="s">
        <v>803</v>
      </c>
      <c r="C295" s="126" t="s">
        <v>283</v>
      </c>
      <c r="D295" s="125">
        <f>M295+O295+(K295*N295)+IF(OR(LEFT(A295)="G",LEFT(A295)="S"),Stats!$E$3-15+Bonuses!$BO$3,IF(OR(LEFT(A295)="Q",LEFT(A295)="R"),Bonuses!$BQ$3,Bonuses!$BP$3))</f>
        <v>22</v>
      </c>
      <c r="E295" s="125">
        <f t="shared" si="22"/>
        <v>3.3</v>
      </c>
      <c r="F295" s="125">
        <f t="shared" si="27"/>
        <v>1.1000000000000001</v>
      </c>
      <c r="G295" s="84" t="str">
        <f>10+(10*K295)&amp;" Feet"</f>
        <v>0 Feet</v>
      </c>
      <c r="H295" s="85" t="str">
        <f>ROUND(1/2*(1+K295),1)&amp;" Hours"</f>
        <v>0 Hours</v>
      </c>
      <c r="I295" s="94" t="str">
        <f>CONCATENATE("Speed: ",30+K295,"mph. ",(30+K295)*1.5," Hex/Pulse")</f>
        <v>Speed: 29mph. 43.5 Hex/Pulse</v>
      </c>
      <c r="J295" s="394">
        <v>250</v>
      </c>
      <c r="K295" s="80">
        <f>IF(ISERROR(C295*1),-1,C295+IF(LEFT(A295)="T",Bonuses!$BR$3,IF(LEFT(A295)="G",Bonuses!$BS$3,IF(LEFT(A295)="Q",Bonuses!$BT$3,IF(LEFT(A295)="S",Bonuses!$BU$3,IF(LEFT(A295)="R",Bonuses!$BV$3,0))))))+P295</f>
        <v>-1</v>
      </c>
      <c r="L295" s="80">
        <v>1</v>
      </c>
      <c r="M295" s="75">
        <v>25</v>
      </c>
      <c r="N295" s="75">
        <v>3</v>
      </c>
      <c r="O295" s="380"/>
      <c r="P295" s="380"/>
      <c r="R295" s="83">
        <v>10000</v>
      </c>
    </row>
    <row r="296" spans="1:19" x14ac:dyDescent="0.2">
      <c r="A296" s="95" t="s">
        <v>258</v>
      </c>
      <c r="B296" s="79" t="s">
        <v>971</v>
      </c>
      <c r="C296" s="126" t="s">
        <v>283</v>
      </c>
      <c r="D296" s="125">
        <f>M296+O296+(K296*N296)+IF(OR(LEFT(A296)="G",LEFT(A296)="S"),Stats!$E$3-15+Bonuses!$BO$3,IF(OR(LEFT(A296)="Q",LEFT(A296)="R"),Bonuses!$BQ$3,Bonuses!$BP$3))</f>
        <v>22</v>
      </c>
      <c r="E296" s="125">
        <f t="shared" si="22"/>
        <v>3.3</v>
      </c>
      <c r="F296" s="125">
        <f t="shared" si="27"/>
        <v>1.1000000000000001</v>
      </c>
      <c r="G296" s="84" t="str">
        <f>30+(15*K296)&amp;" Feet"</f>
        <v>15 Feet</v>
      </c>
      <c r="H296" s="85" t="str">
        <f>"Con. "&amp;1/4*(1+K296)&amp;" Hrs"</f>
        <v>Con. 0 Hrs</v>
      </c>
      <c r="I296" s="94" t="str">
        <f>"5' Web "&amp;MAX(1,K296)&amp;" Tgts D-2+"&amp;K296</f>
        <v>5' Web 1 Tgts D-2+-1</v>
      </c>
      <c r="J296" s="394">
        <v>250</v>
      </c>
      <c r="K296" s="80">
        <f>IF(ISERROR(C296*1),-1,C296+IF(LEFT(A296)="T",Bonuses!$BR$3,IF(LEFT(A296)="G",Bonuses!$BS$3,IF(LEFT(A296)="Q",Bonuses!$BT$3,IF(LEFT(A296)="S",Bonuses!$BU$3,IF(LEFT(A296)="R",Bonuses!$BV$3,0))))))+P296</f>
        <v>-1</v>
      </c>
      <c r="L296" s="80">
        <v>1</v>
      </c>
      <c r="M296" s="75">
        <v>25</v>
      </c>
      <c r="N296" s="75">
        <v>3</v>
      </c>
      <c r="O296" s="380"/>
      <c r="P296" s="380"/>
      <c r="R296" s="83">
        <v>5000</v>
      </c>
    </row>
    <row r="297" spans="1:19" x14ac:dyDescent="0.2">
      <c r="A297" s="95" t="s">
        <v>259</v>
      </c>
      <c r="B297" s="79" t="s">
        <v>804</v>
      </c>
      <c r="C297" s="126" t="s">
        <v>283</v>
      </c>
      <c r="D297" s="125">
        <f>M297+O297+(K297*N297)+IF(OR(LEFT(A297)="G",LEFT(A297)="S"),Stats!$E$3-15+Bonuses!$BO$3,IF(OR(LEFT(A297)="Q",LEFT(A297)="R"),Bonuses!$BQ$3,Bonuses!$BP$3))</f>
        <v>17</v>
      </c>
      <c r="E297" s="125">
        <f t="shared" si="22"/>
        <v>2.5499999999999998</v>
      </c>
      <c r="F297" s="125">
        <f t="shared" si="27"/>
        <v>0.85000000000000009</v>
      </c>
      <c r="G297" s="84" t="str">
        <f>15+(15*K297)&amp;" Feet"</f>
        <v>0 Feet</v>
      </c>
      <c r="H297" s="88" t="str">
        <f>15+(15*K297)&amp;" Secs"</f>
        <v>0 Secs</v>
      </c>
      <c r="J297" s="394">
        <v>350</v>
      </c>
      <c r="K297" s="80">
        <f>IF(ISERROR(C297*1),-1,C297+IF(LEFT(A297)="T",Bonuses!$BR$3,IF(LEFT(A297)="G",Bonuses!$BS$3,IF(LEFT(A297)="Q",Bonuses!$BT$3,IF(LEFT(A297)="S",Bonuses!$BU$3,IF(LEFT(A297)="R",Bonuses!$BV$3,0))))))+P297</f>
        <v>-1</v>
      </c>
      <c r="L297" s="80">
        <v>1</v>
      </c>
      <c r="M297" s="75">
        <v>20</v>
      </c>
      <c r="N297" s="75">
        <v>3</v>
      </c>
      <c r="O297" s="380"/>
      <c r="P297" s="380"/>
      <c r="R297" s="83">
        <v>2000</v>
      </c>
    </row>
    <row r="298" spans="1:19" x14ac:dyDescent="0.2">
      <c r="A298" s="95" t="s">
        <v>260</v>
      </c>
      <c r="B298" s="79" t="s">
        <v>805</v>
      </c>
      <c r="C298" s="126" t="s">
        <v>283</v>
      </c>
      <c r="D298" s="125">
        <f>M298+O298+(K298*N298)+IF(OR(LEFT(A298)="G",LEFT(A298)="S"),Stats!$E$3-15+Bonuses!$BO$3,IF(OR(LEFT(A298)="Q",LEFT(A298)="R"),Bonuses!$BQ$3,Bonuses!$BP$3))</f>
        <v>-1</v>
      </c>
      <c r="E298" s="125">
        <f t="shared" si="22"/>
        <v>-0.15</v>
      </c>
      <c r="F298" s="125">
        <f>D298*0.05</f>
        <v>-0.05</v>
      </c>
      <c r="G298" s="84" t="str">
        <f>60+(15*K298)&amp;" Feet"</f>
        <v>45 Feet</v>
      </c>
      <c r="H298" s="85" t="str">
        <f>"Con. "&amp;(1+K298)&amp;" Mins"</f>
        <v>Con. 0 Mins</v>
      </c>
      <c r="J298" s="394">
        <v>450</v>
      </c>
      <c r="K298" s="80">
        <f>IF(ISERROR(C298*1),-1,C298+IF(LEFT(A298)="T",Bonuses!$BR$3,IF(LEFT(A298)="G",Bonuses!$BS$3,IF(LEFT(A298)="Q",Bonuses!$BT$3,IF(LEFT(A298)="S",Bonuses!$BU$3,IF(LEFT(A298)="R",Bonuses!$BV$3,0))))))+P298</f>
        <v>-1</v>
      </c>
      <c r="L298" s="80">
        <v>1</v>
      </c>
      <c r="M298" s="75">
        <v>2</v>
      </c>
      <c r="N298" s="75">
        <v>3</v>
      </c>
      <c r="O298" s="380"/>
      <c r="P298" s="380"/>
      <c r="R298" s="83">
        <v>15000</v>
      </c>
    </row>
    <row r="299" spans="1:19" x14ac:dyDescent="0.2">
      <c r="A299" s="95" t="s">
        <v>261</v>
      </c>
      <c r="B299" s="79" t="s">
        <v>806</v>
      </c>
      <c r="C299" s="126" t="s">
        <v>283</v>
      </c>
      <c r="D299" s="125">
        <f>M299+O299+(K299*N299)+IF(OR(LEFT(A299)="G",LEFT(A299)="S"),Stats!$E$3-15+Bonuses!$BO$3,IF(OR(LEFT(A299)="Q",LEFT(A299)="R"),Bonuses!$BQ$3,Bonuses!$BP$3))</f>
        <v>-2</v>
      </c>
      <c r="E299" s="125">
        <f t="shared" si="22"/>
        <v>-0.3</v>
      </c>
      <c r="F299" s="125">
        <f t="shared" si="27"/>
        <v>-0.1</v>
      </c>
      <c r="G299" s="84" t="str">
        <f>30+(15*K299)&amp;" Feet"</f>
        <v>15 Feet</v>
      </c>
      <c r="H299" s="85" t="s">
        <v>240</v>
      </c>
      <c r="J299" s="394">
        <v>500</v>
      </c>
      <c r="K299" s="80">
        <f>IF(ISERROR(C299*1),-1,C299+IF(LEFT(A299)="T",Bonuses!$BR$3,IF(LEFT(A299)="G",Bonuses!$BS$3,IF(LEFT(A299)="Q",Bonuses!$BT$3,IF(LEFT(A299)="S",Bonuses!$BU$3,IF(LEFT(A299)="R",Bonuses!$BV$3,0))))))+P299</f>
        <v>-1</v>
      </c>
      <c r="L299" s="80">
        <v>1</v>
      </c>
      <c r="M299" s="75">
        <v>1</v>
      </c>
      <c r="N299" s="75">
        <v>3</v>
      </c>
      <c r="O299" s="380"/>
      <c r="P299" s="380"/>
    </row>
    <row r="300" spans="1:19" x14ac:dyDescent="0.2">
      <c r="A300" s="95" t="s">
        <v>262</v>
      </c>
      <c r="B300" s="79" t="s">
        <v>972</v>
      </c>
      <c r="C300" s="126" t="s">
        <v>283</v>
      </c>
      <c r="D300" s="125">
        <f>M300+O300+(K300*N300)+IF(OR(LEFT(A300)="G",LEFT(A300)="S"),Stats!$E$3-15+Bonuses!$BO$3,IF(OR(LEFT(A300)="Q",LEFT(A300)="R"),Bonuses!$BQ$3,Bonuses!$BP$3))</f>
        <v>2</v>
      </c>
      <c r="E300" s="125">
        <f t="shared" si="22"/>
        <v>0.3</v>
      </c>
      <c r="F300" s="125">
        <f t="shared" si="27"/>
        <v>0.1</v>
      </c>
      <c r="G300" s="84" t="str">
        <f>75+(15*K300)&amp;" Feet"</f>
        <v>60 Feet</v>
      </c>
      <c r="H300" s="85" t="str">
        <f>"Dly "&amp;MAX(5,60-(5*K300))&amp;" secs "</f>
        <v xml:space="preserve">Dly 65 secs </v>
      </c>
      <c r="I300" s="94" t="str">
        <f>1+TRUNC(K300/4,0)&amp;" Hexes D+"&amp;10+ROUND(K300/2,0)</f>
        <v>1 Hexes D+9</v>
      </c>
      <c r="J300" s="394">
        <v>500</v>
      </c>
      <c r="K300" s="80">
        <f>IF(ISERROR(C300*1),-1,C300+IF(LEFT(A300)="T",Bonuses!$BR$3,IF(LEFT(A300)="G",Bonuses!$BS$3,IF(LEFT(A300)="Q",Bonuses!$BT$3,IF(LEFT(A300)="S",Bonuses!$BU$3,IF(LEFT(A300)="R",Bonuses!$BV$3,0))))))+P300</f>
        <v>-1</v>
      </c>
      <c r="L300" s="80">
        <v>1</v>
      </c>
      <c r="M300" s="75">
        <v>5</v>
      </c>
      <c r="N300" s="75">
        <v>3</v>
      </c>
      <c r="O300" s="380"/>
      <c r="P300" s="380"/>
      <c r="R300" s="83">
        <v>10000</v>
      </c>
    </row>
    <row r="301" spans="1:19" x14ac:dyDescent="0.2">
      <c r="A301" s="95" t="s">
        <v>262</v>
      </c>
      <c r="B301" s="79" t="s">
        <v>975</v>
      </c>
      <c r="C301" s="126" t="s">
        <v>283</v>
      </c>
      <c r="D301" s="125">
        <f>M301+O301+(K301*N301)+IF(OR(LEFT(A301)="G",LEFT(A301)="S"),Stats!$E$3-15+Bonuses!$BO$3,IF(OR(LEFT(A301)="Q",LEFT(A301)="R"),Bonuses!$BQ$3,Bonuses!$BP$3))</f>
        <v>2</v>
      </c>
      <c r="E301" s="125">
        <f t="shared" si="22"/>
        <v>0.3</v>
      </c>
      <c r="F301" s="125">
        <f>D301*0.05</f>
        <v>0.1</v>
      </c>
      <c r="G301" s="84" t="str">
        <f>75+(15*K301)&amp;" Feet"</f>
        <v>60 Feet</v>
      </c>
      <c r="H301" s="85" t="str">
        <f>"Dly "&amp;MAX(5,300-(20*K301))&amp;" secs"</f>
        <v>Dly 320 secs</v>
      </c>
      <c r="I301" s="94" t="str">
        <f>"Hex: D+"&amp;12+(K301*4)&amp;" Adj. Hx D+"&amp;2+K301</f>
        <v>Hex: D+8 Adj. Hx D+1</v>
      </c>
      <c r="J301" s="394">
        <v>500</v>
      </c>
      <c r="K301" s="80">
        <f>IF(ISERROR(C301*1),-1,C301+IF(LEFT(A301)="T",Bonuses!$BR$3,IF(LEFT(A301)="G",Bonuses!$BS$3,IF(LEFT(A301)="Q",Bonuses!$BT$3,IF(LEFT(A301)="S",Bonuses!$BU$3,IF(LEFT(A301)="R",Bonuses!$BV$3,0))))))+P301</f>
        <v>-1</v>
      </c>
      <c r="L301" s="80">
        <v>1</v>
      </c>
      <c r="M301" s="75">
        <v>5</v>
      </c>
      <c r="N301" s="75">
        <v>3</v>
      </c>
      <c r="O301" s="380"/>
      <c r="P301" s="380"/>
      <c r="R301" s="83">
        <v>13000</v>
      </c>
    </row>
    <row r="302" spans="1:19" x14ac:dyDescent="0.2">
      <c r="A302" s="95" t="s">
        <v>262</v>
      </c>
      <c r="B302" s="79" t="s">
        <v>974</v>
      </c>
      <c r="C302" s="126" t="s">
        <v>283</v>
      </c>
      <c r="D302" s="125">
        <f>M302+O302+(K302*N302)+IF(OR(LEFT(A302)="G",LEFT(A302)="S"),Stats!$E$3-15+Bonuses!$BO$3,IF(OR(LEFT(A302)="Q",LEFT(A302)="R"),Bonuses!$BQ$3,Bonuses!$BP$3))</f>
        <v>2</v>
      </c>
      <c r="E302" s="125">
        <f t="shared" si="22"/>
        <v>0.3</v>
      </c>
      <c r="F302" s="125">
        <f>D302*0.05</f>
        <v>0.1</v>
      </c>
      <c r="G302" s="84" t="s">
        <v>616</v>
      </c>
      <c r="H302" s="85" t="s">
        <v>240</v>
      </c>
      <c r="I302" s="94" t="str">
        <f>"Teleport up to "&amp;5+K302&amp;" miles"</f>
        <v>Teleport up to 4 miles</v>
      </c>
      <c r="J302" s="394">
        <v>550</v>
      </c>
      <c r="K302" s="80">
        <f>IF(ISERROR(C302*1),-1,C302+IF(LEFT(A302)="T",Bonuses!$BR$3,IF(LEFT(A302)="G",Bonuses!$BS$3,IF(LEFT(A302)="Q",Bonuses!$BT$3,IF(LEFT(A302)="S",Bonuses!$BU$3,IF(LEFT(A302)="R",Bonuses!$BV$3,0))))))+P302</f>
        <v>-1</v>
      </c>
      <c r="L302" s="80">
        <v>1</v>
      </c>
      <c r="M302" s="75">
        <v>5</v>
      </c>
      <c r="N302" s="75">
        <v>3</v>
      </c>
      <c r="O302" s="380"/>
      <c r="P302" s="380"/>
      <c r="R302" s="83">
        <v>20000</v>
      </c>
    </row>
    <row r="303" spans="1:19" x14ac:dyDescent="0.2">
      <c r="A303" s="95" t="s">
        <v>262</v>
      </c>
      <c r="B303" s="79" t="s">
        <v>973</v>
      </c>
      <c r="C303" s="126" t="s">
        <v>283</v>
      </c>
      <c r="D303" s="125">
        <f>M303+O303+(K303*N303)+IF(OR(LEFT(A303)="G",LEFT(A303)="S"),Stats!$E$3-15+Bonuses!$BO$3,IF(OR(LEFT(A303)="Q",LEFT(A303)="R"),Bonuses!$BQ$3,Bonuses!$BP$3))</f>
        <v>2</v>
      </c>
      <c r="E303" s="125">
        <f t="shared" si="22"/>
        <v>0.3</v>
      </c>
      <c r="F303" s="125">
        <f>D303*0.05</f>
        <v>0.1</v>
      </c>
      <c r="G303" s="84" t="str">
        <f>30+(5*K303)&amp;" Feet"</f>
        <v>25 Feet</v>
      </c>
      <c r="H303" s="85" t="s">
        <v>240</v>
      </c>
      <c r="I303" s="94" t="str">
        <f>CONCATENATE("D-2+",K303," Width: 5-",5+K303,"'")</f>
        <v>D-2+-1 Width: 5-4'</v>
      </c>
      <c r="J303" s="394">
        <v>350</v>
      </c>
      <c r="K303" s="80">
        <f>IF(ISERROR(C303*1),-1,C303+IF(LEFT(A303)="T",Bonuses!$BR$3,IF(LEFT(A303)="G",Bonuses!$BS$3,IF(LEFT(A303)="Q",Bonuses!$BT$3,IF(LEFT(A303)="S",Bonuses!$BU$3,IF(LEFT(A303)="R",Bonuses!$BV$3,0))))))+P303</f>
        <v>-1</v>
      </c>
      <c r="L303" s="80">
        <v>1</v>
      </c>
      <c r="M303" s="75">
        <v>5</v>
      </c>
      <c r="N303" s="75">
        <v>3</v>
      </c>
      <c r="O303" s="380"/>
      <c r="P303" s="380"/>
      <c r="R303" s="83">
        <v>10000</v>
      </c>
    </row>
    <row r="304" spans="1:19" x14ac:dyDescent="0.2">
      <c r="A304" s="95" t="s">
        <v>625</v>
      </c>
      <c r="B304" s="79" t="s">
        <v>976</v>
      </c>
      <c r="C304" s="126" t="s">
        <v>283</v>
      </c>
      <c r="D304" s="125">
        <f>M304+O304+(K304*N304)+IF(OR(LEFT(A304)="G",LEFT(A304)="S"),Stats!$E$3-15+Bonuses!$BO$3,IF(OR(LEFT(A304)="Q",LEFT(A304)="R"),Bonuses!$BQ$3,Bonuses!$BP$3))</f>
        <v>-2</v>
      </c>
      <c r="E304" s="125">
        <f t="shared" si="22"/>
        <v>-0.3</v>
      </c>
      <c r="F304" s="125">
        <f t="shared" si="27"/>
        <v>-0.1</v>
      </c>
      <c r="G304" s="84"/>
      <c r="H304" s="85"/>
      <c r="J304" s="394">
        <v>450</v>
      </c>
      <c r="K304" s="80">
        <f>IF(ISERROR(C304*1),-1,C304+IF(LEFT(A304)="T",Bonuses!$BR$3,IF(LEFT(A304)="G",Bonuses!$BS$3,IF(LEFT(A304)="Q",Bonuses!$BT$3,IF(LEFT(A304)="S",Bonuses!$BU$3,IF(LEFT(A304)="R",Bonuses!$BV$3,0))))))+P304</f>
        <v>-1</v>
      </c>
      <c r="L304" s="80">
        <v>1</v>
      </c>
      <c r="M304" s="75">
        <v>1</v>
      </c>
      <c r="N304" s="75">
        <v>3</v>
      </c>
      <c r="O304" s="380"/>
      <c r="P304" s="380"/>
      <c r="R304" s="83">
        <v>30000</v>
      </c>
    </row>
    <row r="306" spans="1:24" ht="15" customHeight="1" x14ac:dyDescent="0.2">
      <c r="A306" s="73"/>
      <c r="B306" s="73" t="s">
        <v>1098</v>
      </c>
      <c r="C306" s="74" t="s">
        <v>149</v>
      </c>
      <c r="D306" s="97" t="s">
        <v>231</v>
      </c>
      <c r="E306" s="97" t="s">
        <v>265</v>
      </c>
      <c r="F306" s="97" t="s">
        <v>266</v>
      </c>
      <c r="G306" s="74" t="s">
        <v>2</v>
      </c>
      <c r="H306" s="74" t="s">
        <v>232</v>
      </c>
      <c r="I306" s="74" t="s">
        <v>234</v>
      </c>
      <c r="J306" s="393" t="s">
        <v>233</v>
      </c>
      <c r="K306" s="75" t="s">
        <v>149</v>
      </c>
      <c r="L306" s="75" t="s">
        <v>235</v>
      </c>
      <c r="M306" s="75" t="s">
        <v>236</v>
      </c>
      <c r="N306" s="76" t="s">
        <v>269</v>
      </c>
      <c r="O306" s="3" t="s">
        <v>169</v>
      </c>
      <c r="P306" s="3" t="s">
        <v>171</v>
      </c>
      <c r="Q306" s="77" t="s">
        <v>237</v>
      </c>
      <c r="R306" s="78" t="s">
        <v>238</v>
      </c>
      <c r="T306" s="2" t="s">
        <v>1374</v>
      </c>
      <c r="U306" s="424"/>
      <c r="V306" s="424"/>
      <c r="W306" s="424"/>
      <c r="X306" s="425" t="s">
        <v>1403</v>
      </c>
    </row>
    <row r="307" spans="1:24" x14ac:dyDescent="0.2">
      <c r="A307" s="95" t="s">
        <v>239</v>
      </c>
      <c r="B307" s="79" t="s">
        <v>609</v>
      </c>
      <c r="C307" s="126">
        <v>0</v>
      </c>
      <c r="D307" s="125">
        <f>M307+O307+(K307*N307)+IF(OR(LEFT(A307)="G",LEFT(A307)="S"),Stats!$E$3-15+Bonuses!$BO$3,IF(OR(LEFT(A307)="Q",LEFT(A307)="R"),Bonuses!$BQ$3,Bonuses!$BP$3))</f>
        <v>5</v>
      </c>
      <c r="E307" s="125">
        <f>D307*0.15</f>
        <v>0.75</v>
      </c>
      <c r="F307" s="125">
        <f>D307*0.05</f>
        <v>0.25</v>
      </c>
      <c r="G307" s="256" t="s">
        <v>610</v>
      </c>
      <c r="H307" s="85" t="s">
        <v>240</v>
      </c>
      <c r="I307" s="185"/>
      <c r="J307" s="394">
        <v>75</v>
      </c>
      <c r="K307" s="80">
        <f>IF(ISERROR(C307*1),-1,C307+IF(LEFT(A307)="T",Bonuses!$BR$3,IF(LEFT(A307)="G",Bonuses!$BS$3,IF(LEFT(A307)="Q",Bonuses!$BT$3,IF(LEFT(A307)="S",Bonuses!$BU$3,IF(LEFT(A307)="R",Bonuses!$BV$3,0))))))+P307</f>
        <v>0</v>
      </c>
      <c r="L307" s="80">
        <v>0</v>
      </c>
      <c r="M307" s="75">
        <f>Stats!$I$3</f>
        <v>5</v>
      </c>
      <c r="N307" s="75">
        <v>5</v>
      </c>
      <c r="O307" s="380"/>
      <c r="P307" s="380"/>
      <c r="Q307" s="86"/>
      <c r="R307" s="83">
        <v>300</v>
      </c>
    </row>
    <row r="308" spans="1:24" x14ac:dyDescent="0.2">
      <c r="A308" s="95" t="s">
        <v>241</v>
      </c>
      <c r="B308" s="79" t="s">
        <v>869</v>
      </c>
      <c r="C308" s="126">
        <v>0</v>
      </c>
      <c r="D308" s="125">
        <f>M308+O308+(K308*N308)+IF(OR(LEFT(A308)="G",LEFT(A308)="S"),Stats!$E$3-15+Bonuses!$BO$3,IF(OR(LEFT(A308)="Q",LEFT(A308)="R"),Bonuses!$BQ$3,Bonuses!$BP$3))</f>
        <v>45</v>
      </c>
      <c r="E308" s="125">
        <f t="shared" ref="E308:E342" si="28">D308*0.15</f>
        <v>6.75</v>
      </c>
      <c r="F308" s="125">
        <f t="shared" ref="F308:F318" si="29">D308*0.05</f>
        <v>2.25</v>
      </c>
      <c r="G308" s="84" t="str">
        <f>10*(1+K308)&amp;" Feet"</f>
        <v>10 Feet</v>
      </c>
      <c r="H308" s="85" t="str">
        <f>"Con. "&amp;3*MAX(1,K308)&amp;" Hours"</f>
        <v>Con. 3 Hours</v>
      </c>
      <c r="J308" s="394">
        <v>50</v>
      </c>
      <c r="K308" s="80">
        <f>IF(ISERROR(C308*1),-1,C308+IF(LEFT(A308)="T",Bonuses!$BR$3,IF(LEFT(A308)="G",Bonuses!$BS$3,IF(LEFT(A308)="Q",Bonuses!$BT$3,IF(LEFT(A308)="S",Bonuses!$BU$3,IF(LEFT(A308)="R",Bonuses!$BV$3,0))))))+P308</f>
        <v>0</v>
      </c>
      <c r="L308" s="80">
        <v>1</v>
      </c>
      <c r="M308" s="75">
        <v>45</v>
      </c>
      <c r="N308" s="75">
        <v>3</v>
      </c>
      <c r="O308" s="380"/>
      <c r="P308" s="380"/>
      <c r="Q308" s="86">
        <f>MAX((MAX(Stats!$E$2,Ranking!$C$13)-15)*5,0)</f>
        <v>0</v>
      </c>
      <c r="R308" s="83">
        <v>300</v>
      </c>
    </row>
    <row r="309" spans="1:24" x14ac:dyDescent="0.2">
      <c r="A309" s="95" t="s">
        <v>242</v>
      </c>
      <c r="B309" s="79" t="s">
        <v>890</v>
      </c>
      <c r="C309" s="126">
        <v>0</v>
      </c>
      <c r="D309" s="125">
        <f>M309+O309+(K309*N309)+IF(OR(LEFT(A309)="G",LEFT(A309)="S"),Stats!$E$3-15+Bonuses!$BO$3,IF(OR(LEFT(A309)="Q",LEFT(A309)="R"),Bonuses!$BQ$3,Bonuses!$BP$3))</f>
        <v>25</v>
      </c>
      <c r="E309" s="125">
        <f t="shared" si="28"/>
        <v>3.75</v>
      </c>
      <c r="F309" s="125">
        <f t="shared" si="29"/>
        <v>1.25</v>
      </c>
      <c r="G309" s="84" t="str">
        <f>10*(1+K309)&amp;" Feet"</f>
        <v>10 Feet</v>
      </c>
      <c r="H309" s="85" t="str">
        <f>"Con. "&amp;3*MAX(1,K309)&amp;" Hours"</f>
        <v>Con. 3 Hours</v>
      </c>
      <c r="J309" s="394">
        <v>50</v>
      </c>
      <c r="K309" s="80">
        <f>IF(ISERROR(C309*1),-1,C309+IF(LEFT(A309)="T",Bonuses!$BR$3,IF(LEFT(A309)="G",Bonuses!$BS$3,IF(LEFT(A309)="Q",Bonuses!$BT$3,IF(LEFT(A309)="S",Bonuses!$BU$3,IF(LEFT(A309)="R",Bonuses!$BV$3,0))))))+P309</f>
        <v>0</v>
      </c>
      <c r="L309" s="80">
        <v>1</v>
      </c>
      <c r="M309" s="75">
        <v>25</v>
      </c>
      <c r="N309" s="75">
        <v>3</v>
      </c>
      <c r="O309" s="380"/>
      <c r="P309" s="380"/>
      <c r="Q309" s="86">
        <f>MAX((MAX(Stats!$E$2,Ranking!$C$13)-15)*5,0)</f>
        <v>0</v>
      </c>
      <c r="R309" s="83">
        <v>300</v>
      </c>
    </row>
    <row r="310" spans="1:24" x14ac:dyDescent="0.2">
      <c r="A310" s="95" t="s">
        <v>243</v>
      </c>
      <c r="B310" s="79" t="s">
        <v>868</v>
      </c>
      <c r="C310" s="126">
        <v>0</v>
      </c>
      <c r="D310" s="125">
        <f>M310+O310+(K310*N310)+IF(OR(LEFT(A310)="G",LEFT(A310)="S"),Stats!$E$3-15+Bonuses!$BO$3,IF(OR(LEFT(A310)="Q",LEFT(A310)="R"),Bonuses!$BQ$3,Bonuses!$BP$3))</f>
        <v>20</v>
      </c>
      <c r="E310" s="125">
        <f t="shared" si="28"/>
        <v>3</v>
      </c>
      <c r="F310" s="125">
        <f t="shared" si="29"/>
        <v>1</v>
      </c>
      <c r="G310" s="84" t="str">
        <f>10*(1+K310)&amp;" Feet"</f>
        <v>10 Feet</v>
      </c>
      <c r="H310" s="85" t="s">
        <v>896</v>
      </c>
      <c r="J310" s="394">
        <v>100</v>
      </c>
      <c r="K310" s="80">
        <f>IF(ISERROR(C310*1),-1,C310+IF(LEFT(A310)="T",Bonuses!$BR$3,IF(LEFT(A310)="G",Bonuses!$BS$3,IF(LEFT(A310)="Q",Bonuses!$BT$3,IF(LEFT(A310)="S",Bonuses!$BU$3,IF(LEFT(A310)="R",Bonuses!$BV$3,0))))))+P310</f>
        <v>0</v>
      </c>
      <c r="L310" s="80">
        <v>1</v>
      </c>
      <c r="M310" s="75">
        <v>20</v>
      </c>
      <c r="N310" s="75">
        <v>3</v>
      </c>
      <c r="O310" s="380"/>
      <c r="P310" s="380"/>
      <c r="Q310" s="86">
        <f>MAX((MAX(Stats!$E$2,Ranking!$C$13)-15)*5,0)</f>
        <v>0</v>
      </c>
      <c r="R310" s="83">
        <v>300</v>
      </c>
    </row>
    <row r="311" spans="1:24" x14ac:dyDescent="0.2">
      <c r="A311" s="95" t="s">
        <v>245</v>
      </c>
      <c r="B311" s="79" t="s">
        <v>788</v>
      </c>
      <c r="C311" s="126">
        <v>0</v>
      </c>
      <c r="D311" s="125">
        <f>M311+O311+(K311*N311)+IF(OR(LEFT(A311)="G",LEFT(A311)="S"),Stats!$E$3-15+Bonuses!$BO$3,IF(OR(LEFT(A311)="Q",LEFT(A311)="R"),Bonuses!$BQ$3,Bonuses!$BP$3))</f>
        <v>60</v>
      </c>
      <c r="E311" s="125">
        <f t="shared" si="28"/>
        <v>9</v>
      </c>
      <c r="F311" s="125">
        <f t="shared" si="29"/>
        <v>3</v>
      </c>
      <c r="G311" s="84" t="str">
        <f>1*(5+K311)&amp;" Feet"</f>
        <v>5 Feet</v>
      </c>
      <c r="H311" s="85" t="str">
        <f>1*(1+K311)&amp;" Hours"</f>
        <v>1 Hours</v>
      </c>
      <c r="I311" s="94" t="s">
        <v>897</v>
      </c>
      <c r="J311" s="394">
        <v>50</v>
      </c>
      <c r="K311" s="80">
        <f>IF(ISERROR(C311*1),-1,C311+IF(LEFT(A311)="T",Bonuses!$BR$3,IF(LEFT(A311)="G",Bonuses!$BS$3,IF(LEFT(A311)="Q",Bonuses!$BT$3,IF(LEFT(A311)="S",Bonuses!$BU$3,IF(LEFT(A311)="R",Bonuses!$BV$3,0))))))+P311</f>
        <v>0</v>
      </c>
      <c r="L311" s="80">
        <v>1</v>
      </c>
      <c r="M311" s="75">
        <v>60</v>
      </c>
      <c r="N311" s="75">
        <v>3</v>
      </c>
      <c r="O311" s="380"/>
      <c r="P311" s="380"/>
      <c r="Q311" s="86">
        <f>MAX((MAX(Stats!$E$2,Ranking!$C$13)-15)*5,0)</f>
        <v>0</v>
      </c>
      <c r="R311" s="83">
        <v>300</v>
      </c>
    </row>
    <row r="312" spans="1:24" x14ac:dyDescent="0.2">
      <c r="A312" s="95" t="s">
        <v>246</v>
      </c>
      <c r="B312" s="79" t="s">
        <v>291</v>
      </c>
      <c r="C312" s="126">
        <v>0</v>
      </c>
      <c r="D312" s="125">
        <f>M312+O312+(K312*N312)+IF(OR(LEFT(A312)="G",LEFT(A312)="S"),Stats!$E$3-15+Bonuses!$BO$3,IF(OR(LEFT(A312)="Q",LEFT(A312)="R"),Bonuses!$BQ$3,Bonuses!$BP$3))</f>
        <v>50</v>
      </c>
      <c r="E312" s="125">
        <f t="shared" si="28"/>
        <v>7.5</v>
      </c>
      <c r="F312" s="125">
        <f>D312*0.05</f>
        <v>2.5</v>
      </c>
      <c r="G312" s="84" t="str">
        <f>1+K312&amp;" Feet"</f>
        <v>1 Feet</v>
      </c>
      <c r="H312" s="85" t="str">
        <f>1+K312&amp;" Hours"</f>
        <v>1 Hours</v>
      </c>
      <c r="I312" s="94" t="s">
        <v>898</v>
      </c>
      <c r="J312" s="394">
        <v>100</v>
      </c>
      <c r="K312" s="80">
        <f>IF(ISERROR(C312*1),-1,C312+IF(LEFT(A312)="T",Bonuses!$BR$3,IF(LEFT(A312)="G",Bonuses!$BS$3,IF(LEFT(A312)="Q",Bonuses!$BT$3,IF(LEFT(A312)="S",Bonuses!$BU$3,IF(LEFT(A312)="R",Bonuses!$BV$3,0))))))+P312</f>
        <v>0</v>
      </c>
      <c r="L312" s="80">
        <v>1</v>
      </c>
      <c r="M312" s="75">
        <v>50</v>
      </c>
      <c r="N312" s="75">
        <v>3</v>
      </c>
      <c r="O312" s="380"/>
      <c r="P312" s="380"/>
      <c r="Q312" s="86">
        <f>MAX((MAX(Stats!$E$2,Ranking!$C$13)-15)*5,0)</f>
        <v>0</v>
      </c>
      <c r="R312" s="83">
        <v>300</v>
      </c>
    </row>
    <row r="313" spans="1:24" x14ac:dyDescent="0.2">
      <c r="A313" s="95" t="s">
        <v>247</v>
      </c>
      <c r="B313" s="79" t="s">
        <v>800</v>
      </c>
      <c r="C313" s="126">
        <v>0</v>
      </c>
      <c r="D313" s="125">
        <f>M313+O313+(K313*N313)+IF(OR(LEFT(A313)="G",LEFT(A313)="S"),Stats!$E$3-15+Bonuses!$BO$3,IF(OR(LEFT(A313)="Q",LEFT(A313)="R"),Bonuses!$BQ$3,Bonuses!$BP$3))</f>
        <v>40</v>
      </c>
      <c r="E313" s="125">
        <f t="shared" si="28"/>
        <v>6</v>
      </c>
      <c r="F313" s="125">
        <f t="shared" si="29"/>
        <v>2</v>
      </c>
      <c r="G313" s="84" t="s">
        <v>679</v>
      </c>
      <c r="H313" s="88" t="s">
        <v>240</v>
      </c>
      <c r="I313" s="94" t="str">
        <f>CONCATENATE("Heal ",3 + K313," Damage. 5min Cast Time.")</f>
        <v>Heal 3 Damage. 5min Cast Time.</v>
      </c>
      <c r="J313" s="394">
        <v>100</v>
      </c>
      <c r="K313" s="80">
        <f>IF(ISERROR(C313*1),-1,C313+IF(LEFT(A313)="T",Bonuses!$BR$3,IF(LEFT(A313)="G",Bonuses!$BS$3,IF(LEFT(A313)="Q",Bonuses!$BT$3,IF(LEFT(A313)="S",Bonuses!$BU$3,IF(LEFT(A313)="R",Bonuses!$BV$3,0))))))+P313</f>
        <v>0</v>
      </c>
      <c r="L313" s="80">
        <v>1</v>
      </c>
      <c r="M313" s="75">
        <v>40</v>
      </c>
      <c r="N313" s="75">
        <v>3</v>
      </c>
      <c r="O313" s="380"/>
      <c r="P313" s="380"/>
      <c r="Q313" s="86">
        <f>MAX((MAX(Stats!$E$2,Ranking!$C$13)-15)*5,0)</f>
        <v>0</v>
      </c>
      <c r="R313" s="83">
        <v>300</v>
      </c>
    </row>
    <row r="314" spans="1:24" x14ac:dyDescent="0.2">
      <c r="A314" s="95" t="s">
        <v>248</v>
      </c>
      <c r="B314" s="79" t="s">
        <v>891</v>
      </c>
      <c r="C314" s="126">
        <v>0</v>
      </c>
      <c r="D314" s="125">
        <f>M314+O314+(K314*N314)+IF(OR(LEFT(A314)="G",LEFT(A314)="S"),Stats!$E$3-15+Bonuses!$BO$3,IF(OR(LEFT(A314)="Q",LEFT(A314)="R"),Bonuses!$BQ$3,Bonuses!$BP$3))</f>
        <v>60</v>
      </c>
      <c r="E314" s="125">
        <f t="shared" si="28"/>
        <v>9</v>
      </c>
      <c r="F314" s="125">
        <f t="shared" si="29"/>
        <v>3</v>
      </c>
      <c r="G314" s="84" t="str">
        <f>5*(4+K314)&amp;" Feet"</f>
        <v>20 Feet</v>
      </c>
      <c r="H314" s="85" t="str">
        <f>1+K314&amp;" Hours"</f>
        <v>1 Hours</v>
      </c>
      <c r="I314" s="94" t="str">
        <f>CONCATENATE("+",10 + K314," to Detect Traps &amp; Ambushes")</f>
        <v>+10 to Detect Traps &amp; Ambushes</v>
      </c>
      <c r="J314" s="394">
        <v>75</v>
      </c>
      <c r="K314" s="80">
        <f>IF(ISERROR(C314*1),-1,C314+IF(LEFT(A314)="T",Bonuses!$BR$3,IF(LEFT(A314)="G",Bonuses!$BS$3,IF(LEFT(A314)="Q",Bonuses!$BT$3,IF(LEFT(A314)="S",Bonuses!$BU$3,IF(LEFT(A314)="R",Bonuses!$BV$3,0))))))+P314</f>
        <v>0</v>
      </c>
      <c r="L314" s="80">
        <v>1</v>
      </c>
      <c r="M314" s="75">
        <v>60</v>
      </c>
      <c r="N314" s="75">
        <v>3</v>
      </c>
      <c r="O314" s="380"/>
      <c r="P314" s="380"/>
      <c r="Q314" s="86">
        <f>MAX((MAX(Stats!$E$2,Ranking!$C$13)-15)*5,0)</f>
        <v>0</v>
      </c>
      <c r="R314" s="83">
        <v>300</v>
      </c>
    </row>
    <row r="315" spans="1:24" x14ac:dyDescent="0.2">
      <c r="A315" s="95" t="s">
        <v>249</v>
      </c>
      <c r="B315" s="79" t="s">
        <v>892</v>
      </c>
      <c r="C315" s="126">
        <v>0</v>
      </c>
      <c r="D315" s="125">
        <f>M315+O315+(K315*N315)+IF(OR(LEFT(A315)="G",LEFT(A315)="S"),Stats!$E$3-15+Bonuses!$BO$3,IF(OR(LEFT(A315)="Q",LEFT(A315)="R"),Bonuses!$BQ$3,Bonuses!$BP$3))</f>
        <v>50</v>
      </c>
      <c r="E315" s="125">
        <f t="shared" si="28"/>
        <v>7.5</v>
      </c>
      <c r="F315" s="125">
        <f t="shared" si="29"/>
        <v>2.5</v>
      </c>
      <c r="G315" s="84" t="s">
        <v>679</v>
      </c>
      <c r="H315" s="88" t="str">
        <f>5+(5*K315)&amp;" Mins"</f>
        <v>5 Mins</v>
      </c>
      <c r="I315" s="94" t="str">
        <f>1+K315&amp;" tests. "&amp;IF(K315&gt;7,"Type","")&amp;IF(K315&gt;9,", Origin","")&amp;IF(K315&gt;15,", Effects","")&amp;IF(K315&gt;19,", Potency","")</f>
        <v xml:space="preserve">1 tests. </v>
      </c>
      <c r="J315" s="394">
        <v>75</v>
      </c>
      <c r="K315" s="80">
        <f>IF(ISERROR(C315*1),-1,C315+IF(LEFT(A315)="T",Bonuses!$BR$3,IF(LEFT(A315)="G",Bonuses!$BS$3,IF(LEFT(A315)="Q",Bonuses!$BT$3,IF(LEFT(A315)="S",Bonuses!$BU$3,IF(LEFT(A315)="R",Bonuses!$BV$3,0))))))+P315</f>
        <v>0</v>
      </c>
      <c r="L315" s="80">
        <v>1</v>
      </c>
      <c r="M315" s="75">
        <v>50</v>
      </c>
      <c r="N315" s="75">
        <v>3</v>
      </c>
      <c r="O315" s="380"/>
      <c r="P315" s="380"/>
      <c r="Q315" s="86">
        <f>MAX((MAX(Stats!$E$2,Ranking!$C$13)-15)*5,0)</f>
        <v>0</v>
      </c>
      <c r="R315" s="83">
        <v>300</v>
      </c>
    </row>
    <row r="316" spans="1:24" x14ac:dyDescent="0.2">
      <c r="A316" s="95" t="s">
        <v>250</v>
      </c>
      <c r="B316" s="79" t="s">
        <v>893</v>
      </c>
      <c r="C316" s="126">
        <v>0</v>
      </c>
      <c r="D316" s="125">
        <f>M316+O316+(K316*N316)+IF(OR(LEFT(A316)="G",LEFT(A316)="S"),Stats!$E$3-15+Bonuses!$BO$3,IF(OR(LEFT(A316)="Q",LEFT(A316)="R"),Bonuses!$BQ$3,Bonuses!$BP$3))</f>
        <v>20</v>
      </c>
      <c r="E316" s="125">
        <f t="shared" si="28"/>
        <v>3</v>
      </c>
      <c r="F316" s="125">
        <f t="shared" si="29"/>
        <v>1</v>
      </c>
      <c r="G316" s="84" t="str">
        <f>10*(1+K316)&amp;" Feet"</f>
        <v>10 Feet</v>
      </c>
      <c r="H316" s="85" t="str">
        <f>IF(K316=20,"Permanent",IF(K316&gt;10,"3 months","2 Weeks"))</f>
        <v>2 Weeks</v>
      </c>
      <c r="I316" s="94" t="s">
        <v>922</v>
      </c>
      <c r="J316" s="394">
        <v>125</v>
      </c>
      <c r="K316" s="80">
        <f>IF(ISERROR(C316*1),-1,C316+IF(LEFT(A316)="T",Bonuses!$BR$3,IF(LEFT(A316)="G",Bonuses!$BS$3,IF(LEFT(A316)="Q",Bonuses!$BT$3,IF(LEFT(A316)="S",Bonuses!$BU$3,IF(LEFT(A316)="R",Bonuses!$BV$3,0))))))+P316</f>
        <v>0</v>
      </c>
      <c r="L316" s="80">
        <v>1</v>
      </c>
      <c r="M316" s="75">
        <v>20</v>
      </c>
      <c r="N316" s="75">
        <v>3</v>
      </c>
      <c r="O316" s="380"/>
      <c r="P316" s="380"/>
      <c r="Q316" s="86">
        <f>MAX((MAX(Stats!$E$2,Ranking!$C$13)-15)*5,0)</f>
        <v>0</v>
      </c>
      <c r="R316" s="83">
        <v>300</v>
      </c>
    </row>
    <row r="317" spans="1:24" x14ac:dyDescent="0.2">
      <c r="A317" s="96" t="s">
        <v>794</v>
      </c>
      <c r="B317" s="87" t="s">
        <v>894</v>
      </c>
      <c r="C317" s="126">
        <v>0</v>
      </c>
      <c r="D317" s="125">
        <f>M317+O317+(K317*N317)+IF(OR(LEFT(A317)="G",LEFT(A317)="S"),Stats!$E$3-15+Bonuses!$BO$3,IF(OR(LEFT(A317)="Q",LEFT(A317)="R"),Bonuses!$BQ$3,Bonuses!$BP$3))</f>
        <v>25</v>
      </c>
      <c r="E317" s="125">
        <f t="shared" si="28"/>
        <v>3.75</v>
      </c>
      <c r="F317" s="125">
        <f t="shared" si="29"/>
        <v>1.25</v>
      </c>
      <c r="G317" s="84" t="s">
        <v>616</v>
      </c>
      <c r="H317" s="85" t="str">
        <f>1+K317&amp;" Hours"</f>
        <v>1 Hours</v>
      </c>
      <c r="I317" s="90" t="str">
        <f>CONCATENATE("+",10 + (K317*2)," to Find Herbs")</f>
        <v>+10 to Find Herbs</v>
      </c>
      <c r="J317" s="395">
        <v>75</v>
      </c>
      <c r="K317" s="80">
        <f>IF(ISERROR(C317*1),-1,C317+IF(LEFT(A317)="T",Bonuses!$BR$3,IF(LEFT(A317)="G",Bonuses!$BS$3,IF(LEFT(A317)="Q",Bonuses!$BT$3,IF(LEFT(A317)="S",Bonuses!$BU$3,IF(LEFT(A317)="R",Bonuses!$BV$3,0))))))+P317</f>
        <v>0</v>
      </c>
      <c r="L317" s="80">
        <v>1</v>
      </c>
      <c r="M317" s="89">
        <v>25</v>
      </c>
      <c r="N317" s="75">
        <v>3</v>
      </c>
      <c r="O317" s="380"/>
      <c r="P317" s="380"/>
      <c r="Q317" s="86">
        <f>MAX((MAX(Stats!$E$2,Ranking!$C$13)-15)*5,0)</f>
        <v>0</v>
      </c>
      <c r="R317" s="83">
        <v>300</v>
      </c>
    </row>
    <row r="318" spans="1:24" x14ac:dyDescent="0.2">
      <c r="A318" s="96" t="s">
        <v>796</v>
      </c>
      <c r="B318" s="87" t="s">
        <v>895</v>
      </c>
      <c r="C318" s="126">
        <v>0</v>
      </c>
      <c r="D318" s="125">
        <f>M318+O318+(K318*N318)+IF(OR(LEFT(A318)="G",LEFT(A318)="S"),Stats!$E$3-15+Bonuses!$BO$3,IF(OR(LEFT(A318)="Q",LEFT(A318)="R"),Bonuses!$BQ$3,Bonuses!$BP$3))</f>
        <v>15</v>
      </c>
      <c r="E318" s="125">
        <f t="shared" si="28"/>
        <v>2.25</v>
      </c>
      <c r="F318" s="125">
        <f t="shared" si="29"/>
        <v>0.75</v>
      </c>
      <c r="G318" s="84" t="s">
        <v>616</v>
      </c>
      <c r="H318" s="85" t="str">
        <f>1+K318&amp;" Days"</f>
        <v>1 Days</v>
      </c>
      <c r="I318" s="90" t="str">
        <f>"+"&amp;10 + (K318*2)&amp;" to Tracking "</f>
        <v xml:space="preserve">+10 to Tracking </v>
      </c>
      <c r="J318" s="395">
        <v>100</v>
      </c>
      <c r="K318" s="80">
        <f>IF(ISERROR(C318*1),-1,C318+IF(LEFT(A318)="T",Bonuses!$BR$3,IF(LEFT(A318)="G",Bonuses!$BS$3,IF(LEFT(A318)="Q",Bonuses!$BT$3,IF(LEFT(A318)="S",Bonuses!$BU$3,IF(LEFT(A318)="R",Bonuses!$BV$3,0))))))+P318</f>
        <v>0</v>
      </c>
      <c r="L318" s="80">
        <v>1</v>
      </c>
      <c r="M318" s="89">
        <v>15</v>
      </c>
      <c r="N318" s="75">
        <v>3</v>
      </c>
      <c r="O318" s="380"/>
      <c r="P318" s="380"/>
      <c r="Q318" s="86">
        <f>MAX((MAX(Stats!$E$2,Ranking!$C$13)-15)*5,0)</f>
        <v>0</v>
      </c>
      <c r="R318" s="83">
        <v>300</v>
      </c>
    </row>
    <row r="319" spans="1:24" x14ac:dyDescent="0.2">
      <c r="A319" s="95" t="s">
        <v>857</v>
      </c>
      <c r="B319" s="79" t="s">
        <v>795</v>
      </c>
      <c r="C319" s="126">
        <v>0</v>
      </c>
      <c r="D319" s="125">
        <f>M319+O319+(K319*N319)+IF(OR(LEFT(A319)="G",LEFT(A319)="S"),Stats!$E$3-15+Bonuses!$BO$3,IF(OR(LEFT(A319)="Q",LEFT(A319)="R"),Bonuses!$BQ$3,Bonuses!$BP$3))</f>
        <v>40</v>
      </c>
      <c r="E319" s="125">
        <f t="shared" si="28"/>
        <v>6</v>
      </c>
      <c r="F319" s="125">
        <f t="shared" ref="F319:F325" si="30">D319*0.05</f>
        <v>2</v>
      </c>
      <c r="G319" s="84" t="str">
        <f>25+(25*K319)&amp;" Feet"</f>
        <v>25 Feet</v>
      </c>
      <c r="H319" s="88" t="str">
        <f>"D+"&amp;5+K319&amp;" Mins"</f>
        <v>D+5 Mins</v>
      </c>
      <c r="I319" s="94" t="str">
        <f>CONCATENATE("+",30 + (K319*3)," to MR vs Generals")</f>
        <v>+30 to MR vs Generals</v>
      </c>
      <c r="J319" s="394">
        <v>100</v>
      </c>
      <c r="K319" s="80">
        <f>IF(ISERROR(C319*1),-1,C319+IF(LEFT(A319)="T",Bonuses!$BR$3,IF(LEFT(A319)="G",Bonuses!$BS$3,IF(LEFT(A319)="Q",Bonuses!$BT$3,IF(LEFT(A319)="S",Bonuses!$BU$3,IF(LEFT(A319)="R",Bonuses!$BV$3,0))))))+P319</f>
        <v>0</v>
      </c>
      <c r="L319" s="80">
        <v>1</v>
      </c>
      <c r="M319" s="75">
        <v>40</v>
      </c>
      <c r="N319" s="75">
        <v>3</v>
      </c>
      <c r="O319" s="380"/>
      <c r="P319" s="380"/>
      <c r="Q319" s="86">
        <f>MAX((MAX(Stats!$E$2,Ranking!$C$13)-15)*5,0)</f>
        <v>0</v>
      </c>
      <c r="R319" s="83">
        <v>300</v>
      </c>
    </row>
    <row r="320" spans="1:24" x14ac:dyDescent="0.2">
      <c r="A320" s="95" t="s">
        <v>858</v>
      </c>
      <c r="B320" s="79" t="s">
        <v>797</v>
      </c>
      <c r="C320" s="126">
        <v>0</v>
      </c>
      <c r="D320" s="125">
        <f>M320+O320+(K320*N320)+IF(OR(LEFT(A320)="G",LEFT(A320)="S"),Stats!$E$3-15+Bonuses!$BO$3,IF(OR(LEFT(A320)="Q",LEFT(A320)="R"),Bonuses!$BQ$3,Bonuses!$BP$3))</f>
        <v>40</v>
      </c>
      <c r="E320" s="125">
        <f t="shared" si="28"/>
        <v>6</v>
      </c>
      <c r="F320" s="125">
        <f t="shared" si="30"/>
        <v>2</v>
      </c>
      <c r="G320" s="84" t="str">
        <f>25+(25*K320)&amp;" Feet"</f>
        <v>25 Feet</v>
      </c>
      <c r="H320" s="88" t="str">
        <f>"D+"&amp;5+K320&amp;" Mins"</f>
        <v>D+5 Mins</v>
      </c>
      <c r="I320" s="94" t="str">
        <f>CONCATENATE("+",30 + (K320*3)," to MR vs Specials")</f>
        <v>+30 to MR vs Specials</v>
      </c>
      <c r="J320" s="394">
        <v>200</v>
      </c>
      <c r="K320" s="80">
        <f>IF(ISERROR(C320*1),-1,C320+IF(LEFT(A320)="T",Bonuses!$BR$3,IF(LEFT(A320)="G",Bonuses!$BS$3,IF(LEFT(A320)="Q",Bonuses!$BT$3,IF(LEFT(A320)="S",Bonuses!$BU$3,IF(LEFT(A320)="R",Bonuses!$BV$3,0))))))+P320</f>
        <v>0</v>
      </c>
      <c r="L320" s="80">
        <v>1</v>
      </c>
      <c r="M320" s="75">
        <v>40</v>
      </c>
      <c r="N320" s="75">
        <v>3</v>
      </c>
      <c r="O320" s="380"/>
      <c r="P320" s="380"/>
      <c r="Q320" s="86">
        <f>MAX((MAX(Stats!$E$2,Ranking!$C$13)-15)*5,0)</f>
        <v>0</v>
      </c>
      <c r="R320" s="83">
        <v>300</v>
      </c>
    </row>
    <row r="321" spans="1:18" x14ac:dyDescent="0.2">
      <c r="A321" s="95" t="s">
        <v>251</v>
      </c>
      <c r="B321" s="79" t="s">
        <v>885</v>
      </c>
      <c r="C321" s="126">
        <v>0</v>
      </c>
      <c r="D321" s="125">
        <f>M321+O321+(K321*N321)+IF(OR(LEFT(A321)="G",LEFT(A321)="S"),Stats!$E$3-15+Bonuses!$BO$3,IF(OR(LEFT(A321)="Q",LEFT(A321)="R"),Bonuses!$BQ$3,Bonuses!$BP$3))</f>
        <v>15</v>
      </c>
      <c r="E321" s="125">
        <f t="shared" si="28"/>
        <v>2.25</v>
      </c>
      <c r="F321" s="125">
        <f t="shared" si="30"/>
        <v>0.75</v>
      </c>
      <c r="G321" s="84"/>
      <c r="H321" s="85"/>
      <c r="J321" s="394">
        <v>150</v>
      </c>
      <c r="K321" s="80">
        <f>IF(ISERROR(C321*1),-1,C321+IF(LEFT(A321)="T",Bonuses!$BR$3,IF(LEFT(A321)="G",Bonuses!$BS$3,IF(LEFT(A321)="Q",Bonuses!$BT$3,IF(LEFT(A321)="S",Bonuses!$BU$3,IF(LEFT(A321)="R",Bonuses!$BV$3,0))))))+P321</f>
        <v>0</v>
      </c>
      <c r="L321" s="80">
        <v>7</v>
      </c>
      <c r="M321" s="75">
        <f>Stats!$E$3</f>
        <v>15</v>
      </c>
      <c r="N321" s="75">
        <v>3</v>
      </c>
      <c r="O321" s="380"/>
      <c r="P321" s="380"/>
      <c r="Q321" s="86">
        <f>MAX((MAX(Stats!$E$2,Ranking!$C$13)-15)*5,0)</f>
        <v>0</v>
      </c>
    </row>
    <row r="322" spans="1:18" x14ac:dyDescent="0.2">
      <c r="A322" s="95" t="s">
        <v>267</v>
      </c>
      <c r="B322" s="79" t="s">
        <v>252</v>
      </c>
      <c r="C322" s="126">
        <v>0</v>
      </c>
      <c r="D322" s="125">
        <f>M322+O322+(K322*N322)+IF(OR(LEFT(A322)="G",LEFT(A322)="S"),Stats!$E$3-15+Bonuses!$BO$3,IF(OR(LEFT(A322)="Q",LEFT(A322)="R"),Bonuses!$BQ$3,Bonuses!$BP$3))</f>
        <v>30</v>
      </c>
      <c r="E322" s="125">
        <f t="shared" si="28"/>
        <v>4.5</v>
      </c>
      <c r="F322" s="125">
        <f t="shared" si="30"/>
        <v>1.5</v>
      </c>
      <c r="G322" s="81"/>
      <c r="H322" s="88" t="str">
        <f>4+(4*K322)&amp;" Hours"</f>
        <v>4 Hours</v>
      </c>
      <c r="I322" s="90" t="str">
        <f>CONCATENATE("+ ",K322," MR. +",TRUNC(K322/5)," MA.")</f>
        <v>+ 0 MR. +0 MA.</v>
      </c>
      <c r="J322" s="394">
        <v>200</v>
      </c>
      <c r="K322" s="80">
        <f>IF(ISERROR(C322*1),-1,C322+IF(LEFT(A322)="T",Bonuses!$BR$3,IF(LEFT(A322)="G",Bonuses!$BS$3,IF(LEFT(A322)="Q",Bonuses!$BT$3,IF(LEFT(A322)="S",Bonuses!$BU$3,IF(LEFT(A322)="R",Bonuses!$BV$3,0))))))+P322</f>
        <v>0</v>
      </c>
      <c r="L322" s="80">
        <v>7</v>
      </c>
      <c r="M322" s="75">
        <f>Stats!$E$3+Stats!$F$3</f>
        <v>30</v>
      </c>
      <c r="N322" s="75">
        <v>3</v>
      </c>
      <c r="O322" s="380"/>
      <c r="P322" s="380"/>
      <c r="Q322" s="86">
        <f>MAX((MAX(Stats!$E$2,Ranking!$C$13)-15)*5,0)</f>
        <v>0</v>
      </c>
    </row>
    <row r="323" spans="1:18" x14ac:dyDescent="0.2">
      <c r="A323" s="95" t="s">
        <v>253</v>
      </c>
      <c r="B323" s="79" t="s">
        <v>899</v>
      </c>
      <c r="C323" s="126" t="s">
        <v>283</v>
      </c>
      <c r="D323" s="125">
        <f>M323+O323+(K323*N323)+IF(OR(LEFT(A323)="G",LEFT(A323)="S"),Stats!$E$3-15+Bonuses!$BO$3,IF(OR(LEFT(A323)="Q",LEFT(A323)="R"),Bonuses!$BQ$3,Bonuses!$BP$3))</f>
        <v>37</v>
      </c>
      <c r="E323" s="125">
        <f t="shared" si="28"/>
        <v>5.55</v>
      </c>
      <c r="F323" s="125">
        <f t="shared" si="30"/>
        <v>1.85</v>
      </c>
      <c r="G323" s="84" t="str">
        <f>25+(10*K323)&amp;" Feet"</f>
        <v>15 Feet</v>
      </c>
      <c r="H323" s="88" t="s">
        <v>240</v>
      </c>
      <c r="I323" s="94" t="str">
        <f>CONCATENATE("D-5 + ",K323," Damage")</f>
        <v>D-5 + -1 Damage</v>
      </c>
      <c r="J323" s="394">
        <v>200</v>
      </c>
      <c r="K323" s="80">
        <f>IF(ISERROR(C323*1),-1,C323+IF(LEFT(A323)="T",Bonuses!$BR$3,IF(LEFT(A323)="G",Bonuses!$BS$3,IF(LEFT(A323)="Q",Bonuses!$BT$3,IF(LEFT(A323)="S",Bonuses!$BU$3,IF(LEFT(A323)="R",Bonuses!$BV$3,0))))))+P323</f>
        <v>-1</v>
      </c>
      <c r="L323" s="80">
        <v>1</v>
      </c>
      <c r="M323" s="75">
        <v>40</v>
      </c>
      <c r="N323" s="75">
        <v>3</v>
      </c>
      <c r="O323" s="380"/>
      <c r="P323" s="380"/>
      <c r="R323" s="83">
        <v>3000</v>
      </c>
    </row>
    <row r="324" spans="1:18" x14ac:dyDescent="0.2">
      <c r="A324" s="95" t="s">
        <v>254</v>
      </c>
      <c r="B324" s="79" t="s">
        <v>900</v>
      </c>
      <c r="C324" s="126" t="s">
        <v>283</v>
      </c>
      <c r="D324" s="125">
        <f>M324+O324+(K324*N324)+IF(OR(LEFT(A324)="G",LEFT(A324)="S"),Stats!$E$3-15+Bonuses!$BO$3,IF(OR(LEFT(A324)="Q",LEFT(A324)="R"),Bonuses!$BQ$3,Bonuses!$BP$3))</f>
        <v>22</v>
      </c>
      <c r="E324" s="125">
        <f t="shared" si="28"/>
        <v>3.3</v>
      </c>
      <c r="F324" s="125">
        <f t="shared" si="30"/>
        <v>1.1000000000000001</v>
      </c>
      <c r="G324" s="84" t="str">
        <f>20+(5*K324)&amp;" Feet"</f>
        <v>15 Feet</v>
      </c>
      <c r="H324" s="85" t="str">
        <f>1+K324&amp;" Hours"</f>
        <v>0 Hours</v>
      </c>
      <c r="I324" s="94" t="str">
        <f>CONCATENATE(1 + ROUND(K324/2,0)," Hands. PS/AG=",40+(K324*2))</f>
        <v>0 Hands. PS/AG=38</v>
      </c>
      <c r="J324" s="394">
        <v>150</v>
      </c>
      <c r="K324" s="80">
        <f>IF(ISERROR(C324*1),-1,C324+IF(LEFT(A324)="T",Bonuses!$BR$3,IF(LEFT(A324)="G",Bonuses!$BS$3,IF(LEFT(A324)="Q",Bonuses!$BT$3,IF(LEFT(A324)="S",Bonuses!$BU$3,IF(LEFT(A324)="R",Bonuses!$BV$3,0))))))+P324</f>
        <v>-1</v>
      </c>
      <c r="L324" s="80">
        <v>1</v>
      </c>
      <c r="M324" s="75">
        <v>25</v>
      </c>
      <c r="N324" s="75">
        <v>3</v>
      </c>
      <c r="O324" s="380"/>
      <c r="P324" s="380"/>
      <c r="R324" s="83">
        <v>6000</v>
      </c>
    </row>
    <row r="325" spans="1:18" x14ac:dyDescent="0.2">
      <c r="A325" s="95" t="s">
        <v>255</v>
      </c>
      <c r="B325" s="79" t="s">
        <v>901</v>
      </c>
      <c r="C325" s="126" t="s">
        <v>283</v>
      </c>
      <c r="D325" s="125">
        <f>M325+O325+(K325*N325)+IF(OR(LEFT(A325)="G",LEFT(A325)="S"),Stats!$E$3-15+Bonuses!$BO$3,IF(OR(LEFT(A325)="Q",LEFT(A325)="R"),Bonuses!$BQ$3,Bonuses!$BP$3))</f>
        <v>17</v>
      </c>
      <c r="E325" s="125">
        <f t="shared" si="28"/>
        <v>2.5499999999999998</v>
      </c>
      <c r="F325" s="125">
        <f t="shared" si="30"/>
        <v>0.85000000000000009</v>
      </c>
      <c r="G325" s="84" t="s">
        <v>631</v>
      </c>
      <c r="H325" s="85" t="str">
        <f>1+K325&amp;" Hours"</f>
        <v>0 Hours</v>
      </c>
      <c r="I325" s="94" t="str">
        <f>CONCATENATE("+",MAX(1,K325)," to PS or EN")</f>
        <v>+1 to PS or EN</v>
      </c>
      <c r="J325" s="394">
        <v>200</v>
      </c>
      <c r="K325" s="80">
        <f>IF(ISERROR(C325*1),-1,C325+IF(LEFT(A325)="T",Bonuses!$BR$3,IF(LEFT(A325)="G",Bonuses!$BS$3,IF(LEFT(A325)="Q",Bonuses!$BT$3,IF(LEFT(A325)="S",Bonuses!$BU$3,IF(LEFT(A325)="R",Bonuses!$BV$3,0))))))+P325</f>
        <v>-1</v>
      </c>
      <c r="L325" s="80">
        <v>1</v>
      </c>
      <c r="M325" s="75">
        <v>20</v>
      </c>
      <c r="N325" s="75">
        <v>3</v>
      </c>
      <c r="O325" s="380"/>
      <c r="P325" s="380"/>
      <c r="R325" s="83">
        <v>10000</v>
      </c>
    </row>
    <row r="326" spans="1:18" x14ac:dyDescent="0.2">
      <c r="A326" s="95" t="s">
        <v>256</v>
      </c>
      <c r="B326" s="79" t="s">
        <v>902</v>
      </c>
      <c r="C326" s="126" t="s">
        <v>283</v>
      </c>
      <c r="D326" s="125">
        <f>M326+O326+(K326*N326)+IF(OR(LEFT(A326)="G",LEFT(A326)="S"),Stats!$E$3-15+Bonuses!$BO$3,IF(OR(LEFT(A326)="Q",LEFT(A326)="R"),Bonuses!$BQ$3,Bonuses!$BP$3))</f>
        <v>17</v>
      </c>
      <c r="E326" s="125">
        <f t="shared" si="28"/>
        <v>2.5499999999999998</v>
      </c>
      <c r="F326" s="125">
        <f t="shared" ref="F326:F341" si="31">D326*0.05</f>
        <v>0.85000000000000009</v>
      </c>
      <c r="G326" s="80" t="s">
        <v>631</v>
      </c>
      <c r="H326" s="85" t="str">
        <f>(1+K326)/2&amp;" Hours"</f>
        <v>0 Hours</v>
      </c>
      <c r="I326" s="94" t="str">
        <f>CONCATENATE("+",2 + (K326*2)," to Def. ",IF(K326&gt;20,"-2 Dam",IF(K326&gt;10,"-1 Dam","")))</f>
        <v xml:space="preserve">+0 to Def. </v>
      </c>
      <c r="J326" s="394">
        <v>200</v>
      </c>
      <c r="K326" s="80">
        <f>IF(ISERROR(C326*1),-1,C326+IF(LEFT(A326)="T",Bonuses!$BR$3,IF(LEFT(A326)="G",Bonuses!$BS$3,IF(LEFT(A326)="Q",Bonuses!$BT$3,IF(LEFT(A326)="S",Bonuses!$BU$3,IF(LEFT(A326)="R",Bonuses!$BV$3,0))))))+P326</f>
        <v>-1</v>
      </c>
      <c r="L326" s="80">
        <v>1</v>
      </c>
      <c r="M326" s="75">
        <v>20</v>
      </c>
      <c r="N326" s="75">
        <v>3</v>
      </c>
      <c r="O326" s="380"/>
      <c r="P326" s="380"/>
      <c r="R326" s="83">
        <v>5000</v>
      </c>
    </row>
    <row r="327" spans="1:18" x14ac:dyDescent="0.2">
      <c r="A327" s="95" t="s">
        <v>257</v>
      </c>
      <c r="B327" s="79" t="s">
        <v>903</v>
      </c>
      <c r="C327" s="126" t="s">
        <v>283</v>
      </c>
      <c r="D327" s="125">
        <f>M327+O327+(K327*N327)+IF(OR(LEFT(A327)="G",LEFT(A327)="S"),Stats!$E$3-15+Bonuses!$BO$3,IF(OR(LEFT(A327)="Q",LEFT(A327)="R"),Bonuses!$BQ$3,Bonuses!$BP$3))</f>
        <v>27</v>
      </c>
      <c r="E327" s="125">
        <f t="shared" si="28"/>
        <v>4.05</v>
      </c>
      <c r="F327" s="125">
        <f t="shared" si="31"/>
        <v>1.35</v>
      </c>
      <c r="G327" s="84" t="str">
        <f>5+(5*K327)&amp;" Feet"</f>
        <v>0 Feet</v>
      </c>
      <c r="H327" s="88" t="str">
        <f>5+K327&amp;" Mins"</f>
        <v>4 Mins</v>
      </c>
      <c r="I327" s="94" t="str">
        <f>CONCATENATE("+",MAX(1,K327),"% SC. +5% their weapon Break.")</f>
        <v>+1% SC. +5% their weapon Break.</v>
      </c>
      <c r="J327" s="394">
        <v>250</v>
      </c>
      <c r="K327" s="80">
        <f>IF(ISERROR(C327*1),-1,C327+IF(LEFT(A327)="T",Bonuses!$BR$3,IF(LEFT(A327)="G",Bonuses!$BS$3,IF(LEFT(A327)="Q",Bonuses!$BT$3,IF(LEFT(A327)="S",Bonuses!$BU$3,IF(LEFT(A327)="R",Bonuses!$BV$3,0))))))+P327</f>
        <v>-1</v>
      </c>
      <c r="L327" s="80">
        <v>1</v>
      </c>
      <c r="M327" s="75">
        <v>30</v>
      </c>
      <c r="N327" s="75">
        <v>3</v>
      </c>
      <c r="O327" s="380"/>
      <c r="P327" s="380"/>
      <c r="R327" s="83">
        <v>1500</v>
      </c>
    </row>
    <row r="328" spans="1:18" x14ac:dyDescent="0.2">
      <c r="A328" s="95" t="s">
        <v>258</v>
      </c>
      <c r="B328" s="79" t="s">
        <v>904</v>
      </c>
      <c r="C328" s="126" t="s">
        <v>283</v>
      </c>
      <c r="D328" s="125">
        <f>M328+O328+(K328*N328)+IF(OR(LEFT(A328)="G",LEFT(A328)="S"),Stats!$E$3-15+Bonuses!$BO$3,IF(OR(LEFT(A328)="Q",LEFT(A328)="R"),Bonuses!$BQ$3,Bonuses!$BP$3))</f>
        <v>7</v>
      </c>
      <c r="E328" s="125">
        <f t="shared" si="28"/>
        <v>1.05</v>
      </c>
      <c r="F328" s="125">
        <f t="shared" si="31"/>
        <v>0.35000000000000003</v>
      </c>
      <c r="G328" s="80" t="s">
        <v>631</v>
      </c>
      <c r="H328" s="85" t="str">
        <f>(1+K328)/2&amp;" Days"</f>
        <v>0 Days</v>
      </c>
      <c r="I328" s="94" t="str">
        <f>"Create "&amp;MAX(1,CEILING(K328/5,1))&amp;" Gems"</f>
        <v>Create 1 Gems</v>
      </c>
      <c r="J328" s="394">
        <v>250</v>
      </c>
      <c r="K328" s="80">
        <f>IF(ISERROR(C328*1),-1,C328+IF(LEFT(A328)="T",Bonuses!$BR$3,IF(LEFT(A328)="G",Bonuses!$BS$3,IF(LEFT(A328)="Q",Bonuses!$BT$3,IF(LEFT(A328)="S",Bonuses!$BU$3,IF(LEFT(A328)="R",Bonuses!$BV$3,0))))))+P328</f>
        <v>-1</v>
      </c>
      <c r="L328" s="80">
        <v>1</v>
      </c>
      <c r="M328" s="75">
        <v>10</v>
      </c>
      <c r="N328" s="75">
        <v>3</v>
      </c>
      <c r="O328" s="380"/>
      <c r="P328" s="380"/>
      <c r="R328" s="83">
        <v>500</v>
      </c>
    </row>
    <row r="329" spans="1:18" x14ac:dyDescent="0.2">
      <c r="A329" s="95" t="s">
        <v>259</v>
      </c>
      <c r="B329" s="79" t="s">
        <v>905</v>
      </c>
      <c r="C329" s="126" t="s">
        <v>283</v>
      </c>
      <c r="D329" s="125">
        <f>M329+O329+(K329*N329)+IF(OR(LEFT(A329)="G",LEFT(A329)="S"),Stats!$E$3-15+Bonuses!$BO$3,IF(OR(LEFT(A329)="Q",LEFT(A329)="R"),Bonuses!$BQ$3,Bonuses!$BP$3))</f>
        <v>12</v>
      </c>
      <c r="E329" s="125">
        <f t="shared" si="28"/>
        <v>1.7999999999999998</v>
      </c>
      <c r="F329" s="125">
        <f t="shared" si="31"/>
        <v>0.60000000000000009</v>
      </c>
      <c r="G329" s="84" t="str">
        <f>10+(10*K329)&amp;" Feet"</f>
        <v>0 Feet</v>
      </c>
      <c r="H329" s="85" t="str">
        <f>(1+K329)/2&amp;" Days"</f>
        <v>0 Days</v>
      </c>
      <c r="I329" s="94" t="s">
        <v>918</v>
      </c>
      <c r="J329" s="394">
        <v>225</v>
      </c>
      <c r="K329" s="80">
        <f>IF(ISERROR(C329*1),-1,C329+IF(LEFT(A329)="T",Bonuses!$BR$3,IF(LEFT(A329)="G",Bonuses!$BS$3,IF(LEFT(A329)="Q",Bonuses!$BT$3,IF(LEFT(A329)="S",Bonuses!$BU$3,IF(LEFT(A329)="R",Bonuses!$BV$3,0))))))+P329</f>
        <v>-1</v>
      </c>
      <c r="L329" s="80">
        <v>1</v>
      </c>
      <c r="M329" s="75">
        <v>15</v>
      </c>
      <c r="N329" s="75">
        <v>3</v>
      </c>
      <c r="O329" s="380"/>
      <c r="P329" s="380"/>
      <c r="R329" s="83">
        <v>2000</v>
      </c>
    </row>
    <row r="330" spans="1:18" x14ac:dyDescent="0.2">
      <c r="A330" s="95" t="s">
        <v>260</v>
      </c>
      <c r="B330" s="79" t="s">
        <v>906</v>
      </c>
      <c r="C330" s="126" t="s">
        <v>283</v>
      </c>
      <c r="D330" s="125">
        <f>M330+O330+(K330*N330)+IF(OR(LEFT(A330)="G",LEFT(A330)="S"),Stats!$E$3-15+Bonuses!$BO$3,IF(OR(LEFT(A330)="Q",LEFT(A330)="R"),Bonuses!$BQ$3,Bonuses!$BP$3))</f>
        <v>12</v>
      </c>
      <c r="E330" s="125">
        <f t="shared" si="28"/>
        <v>1.7999999999999998</v>
      </c>
      <c r="F330" s="125">
        <f t="shared" si="31"/>
        <v>0.60000000000000009</v>
      </c>
      <c r="G330" s="84" t="str">
        <f>10+(10*K330)&amp;" Feet"</f>
        <v>0 Feet</v>
      </c>
      <c r="H330" s="85" t="str">
        <f>(1+K330)/2&amp;" Days"</f>
        <v>0 Days</v>
      </c>
      <c r="I330" s="94" t="str">
        <f>CONCATENATE(K330," Plants. Conc to control.")</f>
        <v>-1 Plants. Conc to control.</v>
      </c>
      <c r="J330" s="394">
        <v>225</v>
      </c>
      <c r="K330" s="80">
        <f>IF(ISERROR(C330*1),-1,C330+IF(LEFT(A330)="T",Bonuses!$BR$3,IF(LEFT(A330)="G",Bonuses!$BS$3,IF(LEFT(A330)="Q",Bonuses!$BT$3,IF(LEFT(A330)="S",Bonuses!$BU$3,IF(LEFT(A330)="R",Bonuses!$BV$3,0))))))+P330</f>
        <v>-1</v>
      </c>
      <c r="L330" s="80">
        <v>1</v>
      </c>
      <c r="M330" s="75">
        <v>15</v>
      </c>
      <c r="N330" s="75">
        <v>3</v>
      </c>
      <c r="O330" s="380"/>
      <c r="P330" s="380"/>
      <c r="R330" s="83">
        <v>2000</v>
      </c>
    </row>
    <row r="331" spans="1:18" x14ac:dyDescent="0.2">
      <c r="A331" s="95" t="s">
        <v>261</v>
      </c>
      <c r="B331" s="79" t="s">
        <v>907</v>
      </c>
      <c r="C331" s="126" t="s">
        <v>283</v>
      </c>
      <c r="D331" s="125">
        <f>M331+O331+(K331*N331)+IF(OR(LEFT(A331)="G",LEFT(A331)="S"),Stats!$E$3-15+Bonuses!$BO$3,IF(OR(LEFT(A331)="Q",LEFT(A331)="R"),Bonuses!$BQ$3,Bonuses!$BP$3))</f>
        <v>7</v>
      </c>
      <c r="E331" s="125">
        <f t="shared" si="28"/>
        <v>1.05</v>
      </c>
      <c r="F331" s="125">
        <f t="shared" si="31"/>
        <v>0.35000000000000003</v>
      </c>
      <c r="G331" s="84" t="str">
        <f>10+(10*K331)&amp;" Feet"</f>
        <v>0 Feet</v>
      </c>
      <c r="H331" s="151" t="s">
        <v>698</v>
      </c>
      <c r="I331" s="94" t="s">
        <v>919</v>
      </c>
      <c r="J331" s="394">
        <v>250</v>
      </c>
      <c r="K331" s="80">
        <f>IF(ISERROR(C331*1),-1,C331+IF(LEFT(A331)="T",Bonuses!$BR$3,IF(LEFT(A331)="G",Bonuses!$BS$3,IF(LEFT(A331)="Q",Bonuses!$BT$3,IF(LEFT(A331)="S",Bonuses!$BU$3,IF(LEFT(A331)="R",Bonuses!$BV$3,0))))))+P331</f>
        <v>-1</v>
      </c>
      <c r="L331" s="80">
        <v>1</v>
      </c>
      <c r="M331" s="75">
        <v>10</v>
      </c>
      <c r="N331" s="75">
        <v>3</v>
      </c>
      <c r="O331" s="380"/>
      <c r="P331" s="380"/>
      <c r="R331" s="83">
        <v>4000</v>
      </c>
    </row>
    <row r="332" spans="1:18" x14ac:dyDescent="0.2">
      <c r="A332" s="95" t="s">
        <v>262</v>
      </c>
      <c r="B332" s="79" t="s">
        <v>908</v>
      </c>
      <c r="C332" s="126" t="s">
        <v>283</v>
      </c>
      <c r="D332" s="125">
        <f>M332+O332+(K332*N332)+IF(OR(LEFT(A332)="G",LEFT(A332)="S"),Stats!$E$3-15+Bonuses!$BO$3,IF(OR(LEFT(A332)="Q",LEFT(A332)="R"),Bonuses!$BQ$3,Bonuses!$BP$3))</f>
        <v>22</v>
      </c>
      <c r="E332" s="125">
        <f t="shared" si="28"/>
        <v>3.3</v>
      </c>
      <c r="F332" s="125">
        <f t="shared" si="31"/>
        <v>1.1000000000000001</v>
      </c>
      <c r="G332" s="80" t="s">
        <v>708</v>
      </c>
      <c r="I332" s="94" t="str">
        <f>CONCATENATE(15+(K332*5)," EN &amp; FT.")</f>
        <v>10 EN &amp; FT.</v>
      </c>
      <c r="J332" s="394">
        <v>225</v>
      </c>
      <c r="K332" s="80">
        <f>IF(ISERROR(C332*1),-1,C332+IF(LEFT(A332)="T",Bonuses!$BR$3,IF(LEFT(A332)="G",Bonuses!$BS$3,IF(LEFT(A332)="Q",Bonuses!$BT$3,IF(LEFT(A332)="S",Bonuses!$BU$3,IF(LEFT(A332)="R",Bonuses!$BV$3,0))))))+P332</f>
        <v>-1</v>
      </c>
      <c r="L332" s="80">
        <v>1</v>
      </c>
      <c r="M332" s="75">
        <v>25</v>
      </c>
      <c r="N332" s="75">
        <v>3</v>
      </c>
      <c r="O332" s="380"/>
      <c r="P332" s="380"/>
      <c r="R332" s="83">
        <v>50000</v>
      </c>
    </row>
    <row r="333" spans="1:18" x14ac:dyDescent="0.2">
      <c r="A333" s="95" t="s">
        <v>262</v>
      </c>
      <c r="B333" s="79" t="s">
        <v>909</v>
      </c>
      <c r="C333" s="126" t="s">
        <v>283</v>
      </c>
      <c r="D333" s="125">
        <f>M333+O333+(K333*N333)+IF(OR(LEFT(A333)="G",LEFT(A333)="S"),Stats!$E$3-15+Bonuses!$BO$3,IF(OR(LEFT(A333)="Q",LEFT(A333)="R"),Bonuses!$BQ$3,Bonuses!$BP$3))</f>
        <v>17</v>
      </c>
      <c r="E333" s="125">
        <f t="shared" si="28"/>
        <v>2.5499999999999998</v>
      </c>
      <c r="F333" s="125">
        <f t="shared" si="31"/>
        <v>0.85000000000000009</v>
      </c>
      <c r="G333" s="80" t="s">
        <v>708</v>
      </c>
      <c r="H333" s="151" t="s">
        <v>896</v>
      </c>
      <c r="J333" s="394">
        <v>225</v>
      </c>
      <c r="K333" s="80">
        <f>IF(ISERROR(C333*1),-1,C333+IF(LEFT(A333)="T",Bonuses!$BR$3,IF(LEFT(A333)="G",Bonuses!$BS$3,IF(LEFT(A333)="Q",Bonuses!$BT$3,IF(LEFT(A333)="S",Bonuses!$BU$3,IF(LEFT(A333)="R",Bonuses!$BV$3,0))))))+P333</f>
        <v>-1</v>
      </c>
      <c r="L333" s="80">
        <v>1</v>
      </c>
      <c r="M333" s="75">
        <v>20</v>
      </c>
      <c r="N333" s="75">
        <v>3</v>
      </c>
      <c r="O333" s="380"/>
      <c r="P333" s="380"/>
    </row>
    <row r="334" spans="1:18" x14ac:dyDescent="0.2">
      <c r="A334" s="95" t="s">
        <v>263</v>
      </c>
      <c r="B334" s="79" t="s">
        <v>910</v>
      </c>
      <c r="C334" s="126" t="s">
        <v>283</v>
      </c>
      <c r="D334" s="125">
        <f>M334+O334+(K334*N334)+IF(OR(LEFT(A334)="G",LEFT(A334)="S"),Stats!$E$3-15+Bonuses!$BO$3,IF(OR(LEFT(A334)="Q",LEFT(A334)="R"),Bonuses!$BQ$3,Bonuses!$BP$3))</f>
        <v>-1</v>
      </c>
      <c r="E334" s="125">
        <f t="shared" si="28"/>
        <v>-0.15</v>
      </c>
      <c r="F334" s="125">
        <f t="shared" si="31"/>
        <v>-0.05</v>
      </c>
      <c r="G334" s="84" t="str">
        <f>30+(10*K334)&amp;" Feet"</f>
        <v>20 Feet</v>
      </c>
      <c r="H334" s="151" t="s">
        <v>240</v>
      </c>
      <c r="I334" s="94" t="str">
        <f>CONCATENATE(MAX(1,CEILING(K334/5,1))," Targets ", (1+K334)*5," feet down")</f>
        <v>1 Targets 0 feet down</v>
      </c>
      <c r="J334" s="394">
        <v>650</v>
      </c>
      <c r="K334" s="80">
        <f>IF(ISERROR(C334*1),-1,C334+IF(LEFT(A334)="T",Bonuses!$BR$3,IF(LEFT(A334)="G",Bonuses!$BS$3,IF(LEFT(A334)="Q",Bonuses!$BT$3,IF(LEFT(A334)="S",Bonuses!$BU$3,IF(LEFT(A334)="R",Bonuses!$BV$3,0))))))+P334</f>
        <v>-1</v>
      </c>
      <c r="L334" s="80">
        <v>1</v>
      </c>
      <c r="M334" s="75">
        <v>2</v>
      </c>
      <c r="N334" s="75">
        <v>3</v>
      </c>
      <c r="O334" s="380"/>
      <c r="P334" s="380"/>
      <c r="R334" s="83">
        <v>50000</v>
      </c>
    </row>
    <row r="335" spans="1:18" x14ac:dyDescent="0.2">
      <c r="A335" s="95" t="s">
        <v>264</v>
      </c>
      <c r="B335" s="79" t="s">
        <v>911</v>
      </c>
      <c r="C335" s="126" t="s">
        <v>283</v>
      </c>
      <c r="D335" s="125">
        <f>M335+O335+(K335*N335)+IF(OR(LEFT(A335)="G",LEFT(A335)="S"),Stats!$E$3-15+Bonuses!$BO$3,IF(OR(LEFT(A335)="Q",LEFT(A335)="R"),Bonuses!$BQ$3,Bonuses!$BP$3))</f>
        <v>7</v>
      </c>
      <c r="E335" s="125">
        <f t="shared" si="28"/>
        <v>1.05</v>
      </c>
      <c r="F335" s="125">
        <f t="shared" si="31"/>
        <v>0.35000000000000003</v>
      </c>
      <c r="G335" s="84" t="str">
        <f>20+(10*K335)&amp;" Feet"</f>
        <v>10 Feet</v>
      </c>
      <c r="H335" s="88" t="str">
        <f>10+(10*K335)&amp;" Mins"</f>
        <v>0 Mins</v>
      </c>
      <c r="I335" s="94" t="str">
        <f>CONCATENATE("10.20Wl;10h.20rRg;15h.2rPr. +",K335)</f>
        <v>10.20Wl;10h.20rRg;15h.2rPr. +-1</v>
      </c>
      <c r="J335" s="394">
        <v>150</v>
      </c>
      <c r="K335" s="80">
        <f>IF(ISERROR(C335*1),-1,C335+IF(LEFT(A335)="T",Bonuses!$BR$3,IF(LEFT(A335)="G",Bonuses!$BS$3,IF(LEFT(A335)="Q",Bonuses!$BT$3,IF(LEFT(A335)="S",Bonuses!$BU$3,IF(LEFT(A335)="R",Bonuses!$BV$3,0))))))+P335</f>
        <v>-1</v>
      </c>
      <c r="L335" s="80">
        <v>1</v>
      </c>
      <c r="M335" s="75">
        <v>10</v>
      </c>
      <c r="N335" s="75">
        <v>3</v>
      </c>
      <c r="O335" s="380"/>
      <c r="P335" s="380"/>
      <c r="R335" s="83">
        <v>4000</v>
      </c>
    </row>
    <row r="336" spans="1:18" x14ac:dyDescent="0.2">
      <c r="A336" s="95" t="s">
        <v>700</v>
      </c>
      <c r="B336" s="79" t="s">
        <v>912</v>
      </c>
      <c r="C336" s="126" t="s">
        <v>283</v>
      </c>
      <c r="D336" s="125">
        <f>M336+O336+(K336*N336)+IF(OR(LEFT(A336)="G",LEFT(A336)="S"),Stats!$E$3-15+Bonuses!$BO$3,IF(OR(LEFT(A336)="Q",LEFT(A336)="R"),Bonuses!$BQ$3,Bonuses!$BP$3))</f>
        <v>2</v>
      </c>
      <c r="E336" s="125">
        <f t="shared" si="28"/>
        <v>0.3</v>
      </c>
      <c r="F336" s="125">
        <f t="shared" si="31"/>
        <v>0.1</v>
      </c>
      <c r="G336" s="84" t="str">
        <f>20+(10*K336)&amp;" Feet"</f>
        <v>10 Feet</v>
      </c>
      <c r="H336" s="88" t="str">
        <f>10+(10*K336)&amp;" Mins"</f>
        <v>0 Mins</v>
      </c>
      <c r="I336" s="94" t="str">
        <f>CONCATENATE("10.20Wl;10h.20rRg;15h.2rPr. +",K336)</f>
        <v>10.20Wl;10h.20rRg;15h.2rPr. +-1</v>
      </c>
      <c r="J336" s="394">
        <v>250</v>
      </c>
      <c r="K336" s="80">
        <f>IF(ISERROR(C336*1),-1,C336+IF(LEFT(A336)="T",Bonuses!$BR$3,IF(LEFT(A336)="G",Bonuses!$BS$3,IF(LEFT(A336)="Q",Bonuses!$BT$3,IF(LEFT(A336)="S",Bonuses!$BU$3,IF(LEFT(A336)="R",Bonuses!$BV$3,0))))))+P336</f>
        <v>-1</v>
      </c>
      <c r="L336" s="80">
        <v>1</v>
      </c>
      <c r="M336" s="75">
        <v>5</v>
      </c>
      <c r="N336" s="75">
        <v>3</v>
      </c>
      <c r="O336" s="380"/>
      <c r="P336" s="380"/>
      <c r="R336" s="83">
        <v>4000</v>
      </c>
    </row>
    <row r="337" spans="1:24" x14ac:dyDescent="0.2">
      <c r="A337" s="95" t="s">
        <v>702</v>
      </c>
      <c r="B337" s="79" t="s">
        <v>913</v>
      </c>
      <c r="C337" s="126" t="s">
        <v>283</v>
      </c>
      <c r="D337" s="125">
        <f>M337+O337+(K337*N337)+IF(OR(LEFT(A337)="G",LEFT(A337)="S"),Stats!$E$3-15+Bonuses!$BO$3,IF(OR(LEFT(A337)="Q",LEFT(A337)="R"),Bonuses!$BQ$3,Bonuses!$BP$3))</f>
        <v>7</v>
      </c>
      <c r="E337" s="125">
        <f t="shared" si="28"/>
        <v>1.05</v>
      </c>
      <c r="F337" s="125">
        <f t="shared" si="31"/>
        <v>0.35000000000000003</v>
      </c>
      <c r="G337" s="84" t="str">
        <f>5+(1*K337)&amp;" Feet"</f>
        <v>4 Feet</v>
      </c>
      <c r="H337" s="88" t="str">
        <f>30+(5*K337)&amp;" Secs"</f>
        <v>25 Secs</v>
      </c>
      <c r="I337" s="94" t="str">
        <f>CONCATENATE("10dia 20deep. +",K337," to rad/depth")</f>
        <v>10dia 20deep. +-1 to rad/depth</v>
      </c>
      <c r="J337" s="394">
        <v>200</v>
      </c>
      <c r="K337" s="80">
        <f>IF(ISERROR(C337*1),-1,C337+IF(LEFT(A337)="T",Bonuses!$BR$3,IF(LEFT(A337)="G",Bonuses!$BS$3,IF(LEFT(A337)="Q",Bonuses!$BT$3,IF(LEFT(A337)="S",Bonuses!$BU$3,IF(LEFT(A337)="R",Bonuses!$BV$3,0))))))+P337</f>
        <v>-1</v>
      </c>
      <c r="L337" s="80">
        <v>1</v>
      </c>
      <c r="M337" s="75">
        <v>10</v>
      </c>
      <c r="N337" s="75">
        <v>3</v>
      </c>
      <c r="O337" s="380"/>
      <c r="P337" s="380"/>
      <c r="R337" s="83">
        <v>8000</v>
      </c>
    </row>
    <row r="338" spans="1:24" x14ac:dyDescent="0.2">
      <c r="A338" s="95" t="s">
        <v>735</v>
      </c>
      <c r="B338" s="79" t="s">
        <v>914</v>
      </c>
      <c r="C338" s="126" t="s">
        <v>283</v>
      </c>
      <c r="D338" s="125">
        <f>M338+O338+(K338*N338)+IF(OR(LEFT(A338)="G",LEFT(A338)="S"),Stats!$E$3-15+Bonuses!$BO$3,IF(OR(LEFT(A338)="Q",LEFT(A338)="R"),Bonuses!$BQ$3,Bonuses!$BP$3))</f>
        <v>17</v>
      </c>
      <c r="E338" s="125">
        <f t="shared" si="28"/>
        <v>2.5499999999999998</v>
      </c>
      <c r="F338" s="125">
        <f t="shared" si="31"/>
        <v>0.85000000000000009</v>
      </c>
      <c r="G338" s="80" t="s">
        <v>631</v>
      </c>
      <c r="H338" s="88" t="str">
        <f>30+(5*K338)&amp;" Secs"</f>
        <v>25 Secs</v>
      </c>
      <c r="I338" s="94" t="s">
        <v>920</v>
      </c>
      <c r="J338" s="394">
        <v>250</v>
      </c>
      <c r="K338" s="80">
        <f>IF(ISERROR(C338*1),-1,C338+IF(LEFT(A338)="T",Bonuses!$BR$3,IF(LEFT(A338)="G",Bonuses!$BS$3,IF(LEFT(A338)="Q",Bonuses!$BT$3,IF(LEFT(A338)="S",Bonuses!$BU$3,IF(LEFT(A338)="R",Bonuses!$BV$3,0))))))+P338</f>
        <v>-1</v>
      </c>
      <c r="L338" s="80">
        <v>1</v>
      </c>
      <c r="M338" s="75">
        <v>20</v>
      </c>
      <c r="N338" s="75">
        <v>3</v>
      </c>
      <c r="O338" s="380"/>
      <c r="P338" s="380"/>
      <c r="R338" s="83">
        <v>10000</v>
      </c>
    </row>
    <row r="339" spans="1:24" x14ac:dyDescent="0.2">
      <c r="A339" s="95" t="s">
        <v>737</v>
      </c>
      <c r="B339" s="79" t="s">
        <v>915</v>
      </c>
      <c r="C339" s="126" t="s">
        <v>283</v>
      </c>
      <c r="D339" s="125">
        <f>M339+O339+(K339*N339)+IF(OR(LEFT(A339)="G",LEFT(A339)="S"),Stats!$E$3-15+Bonuses!$BO$3,IF(OR(LEFT(A339)="Q",LEFT(A339)="R"),Bonuses!$BQ$3,Bonuses!$BP$3))</f>
        <v>4</v>
      </c>
      <c r="E339" s="125">
        <f t="shared" si="28"/>
        <v>0.6</v>
      </c>
      <c r="F339" s="125">
        <f t="shared" si="31"/>
        <v>0.2</v>
      </c>
      <c r="G339" s="84" t="str">
        <f>25+(5*K339)&amp;" Feet"</f>
        <v>20 Feet</v>
      </c>
      <c r="H339" s="88" t="str">
        <f>10+(10*K339)&amp;" Secs"</f>
        <v>0 Secs</v>
      </c>
      <c r="I339" s="94" t="str">
        <f>CONCATENATE("Pool ",K339+5,"' rad D-5+",K339," Dam Res 1/2")</f>
        <v>Pool 4' rad D-5+-1 Dam Res 1/2</v>
      </c>
      <c r="J339" s="394">
        <v>300</v>
      </c>
      <c r="K339" s="80">
        <f>IF(ISERROR(C339*1),-1,C339+IF(LEFT(A339)="T",Bonuses!$BR$3,IF(LEFT(A339)="G",Bonuses!$BS$3,IF(LEFT(A339)="Q",Bonuses!$BT$3,IF(LEFT(A339)="S",Bonuses!$BU$3,IF(LEFT(A339)="R",Bonuses!$BV$3,0))))))+P339</f>
        <v>-1</v>
      </c>
      <c r="L339" s="80">
        <v>1</v>
      </c>
      <c r="M339" s="75">
        <v>7</v>
      </c>
      <c r="N339" s="75">
        <v>3</v>
      </c>
      <c r="O339" s="380"/>
      <c r="P339" s="380"/>
      <c r="R339" s="83">
        <v>10000</v>
      </c>
    </row>
    <row r="340" spans="1:24" x14ac:dyDescent="0.2">
      <c r="A340" s="95" t="s">
        <v>737</v>
      </c>
      <c r="B340" s="79" t="s">
        <v>916</v>
      </c>
      <c r="C340" s="126" t="s">
        <v>283</v>
      </c>
      <c r="D340" s="125">
        <f>M340+O340+(K340*N340)+IF(OR(LEFT(A340)="G",LEFT(A340)="S"),Stats!$E$3-15+Bonuses!$BO$3,IF(OR(LEFT(A340)="Q",LEFT(A340)="R"),Bonuses!$BQ$3,Bonuses!$BP$3))</f>
        <v>17</v>
      </c>
      <c r="E340" s="125">
        <f t="shared" si="28"/>
        <v>2.5499999999999998</v>
      </c>
      <c r="F340" s="125">
        <f t="shared" si="31"/>
        <v>0.85000000000000009</v>
      </c>
      <c r="G340" s="84" t="str">
        <f>30+(10*K340)&amp;" Feet"</f>
        <v>20 Feet</v>
      </c>
      <c r="H340" s="151" t="s">
        <v>240</v>
      </c>
      <c r="I340" s="94" t="str">
        <f>CONCATENATE(ROUND(K340/2,0)+1," Jav SC ",45+(K340*3)+Bonuses!$AK$3+Bonuses!$AY$3," D-4+",ROUND(K340/2,0)," Dam")</f>
        <v>0 Jav SC 42 D-4+-1 Dam</v>
      </c>
      <c r="J340" s="394">
        <v>300</v>
      </c>
      <c r="K340" s="80">
        <f>IF(ISERROR(C340*1),-1,C340+IF(LEFT(A340)="T",Bonuses!$BR$3,IF(LEFT(A340)="G",Bonuses!$BS$3,IF(LEFT(A340)="Q",Bonuses!$BT$3,IF(LEFT(A340)="S",Bonuses!$BU$3,IF(LEFT(A340)="R",Bonuses!$BV$3,0))))))+P340</f>
        <v>-1</v>
      </c>
      <c r="L340" s="80">
        <v>1</v>
      </c>
      <c r="M340" s="75">
        <v>20</v>
      </c>
      <c r="N340" s="75">
        <v>3</v>
      </c>
      <c r="O340" s="380"/>
      <c r="P340" s="380"/>
      <c r="R340" s="83">
        <v>15000</v>
      </c>
    </row>
    <row r="341" spans="1:24" x14ac:dyDescent="0.2">
      <c r="A341" s="95" t="s">
        <v>739</v>
      </c>
      <c r="B341" s="79" t="s">
        <v>917</v>
      </c>
      <c r="C341" s="126" t="s">
        <v>283</v>
      </c>
      <c r="D341" s="125">
        <f>M341+O341+(K341*N341)+IF(OR(LEFT(A341)="G",LEFT(A341)="S"),Stats!$E$3-15+Bonuses!$BO$3,IF(OR(LEFT(A341)="Q",LEFT(A341)="R"),Bonuses!$BQ$3,Bonuses!$BP$3))</f>
        <v>7</v>
      </c>
      <c r="E341" s="125">
        <f t="shared" si="28"/>
        <v>1.05</v>
      </c>
      <c r="F341" s="125">
        <f t="shared" si="31"/>
        <v>0.35000000000000003</v>
      </c>
      <c r="G341" s="84" t="str">
        <f>10+(10*K341)&amp;" Feet"</f>
        <v>0 Feet</v>
      </c>
      <c r="H341" s="85" t="str">
        <f>1+K341&amp;" Hours"</f>
        <v>0 Hours</v>
      </c>
      <c r="I341" s="94" t="str">
        <f>CONCATENATE(3+K341," cu' Mud&lt;==&gt;Stone.")</f>
        <v>2 cu' Mud&lt;==&gt;Stone.</v>
      </c>
      <c r="J341" s="394">
        <v>400</v>
      </c>
      <c r="K341" s="80">
        <f>IF(ISERROR(C341*1),-1,C341+IF(LEFT(A341)="T",Bonuses!$BR$3,IF(LEFT(A341)="G",Bonuses!$BS$3,IF(LEFT(A341)="Q",Bonuses!$BT$3,IF(LEFT(A341)="S",Bonuses!$BU$3,IF(LEFT(A341)="R",Bonuses!$BV$3,0))))))+P341</f>
        <v>-1</v>
      </c>
      <c r="L341" s="80">
        <v>1</v>
      </c>
      <c r="M341" s="75">
        <v>10</v>
      </c>
      <c r="N341" s="75">
        <v>3</v>
      </c>
      <c r="O341" s="380"/>
      <c r="P341" s="380"/>
    </row>
    <row r="342" spans="1:24" x14ac:dyDescent="0.2">
      <c r="A342" s="95" t="s">
        <v>625</v>
      </c>
      <c r="B342" s="79" t="s">
        <v>921</v>
      </c>
      <c r="C342" s="126" t="s">
        <v>283</v>
      </c>
      <c r="D342" s="125">
        <f>M342+O342+(K342*N342)+IF(OR(LEFT(A342)="G",LEFT(A342)="S"),Stats!$E$3-15+Bonuses!$BO$3,IF(OR(LEFT(A342)="Q",LEFT(A342)="R"),Bonuses!$BQ$3,Bonuses!$BP$3))</f>
        <v>7</v>
      </c>
      <c r="E342" s="125">
        <f t="shared" si="28"/>
        <v>1.05</v>
      </c>
      <c r="F342" s="125">
        <f>D342*0.05</f>
        <v>0.35000000000000003</v>
      </c>
      <c r="G342" s="84" t="str">
        <f>10+(10*K342)&amp;" Feet"</f>
        <v>0 Feet</v>
      </c>
      <c r="H342" s="85" t="str">
        <f>"Con. "&amp;1*(1+K342)&amp;" Hours"</f>
        <v>Con. 0 Hours</v>
      </c>
      <c r="I342" s="94" t="str">
        <f>CONCATENATE("Shape ",(1+K342)*500," lbs Earth/Stone.")</f>
        <v>Shape 0 lbs Earth/Stone.</v>
      </c>
      <c r="J342" s="394">
        <v>500</v>
      </c>
      <c r="K342" s="80">
        <f>IF(ISERROR(C342*1),-1,C342+IF(LEFT(A342)="T",Bonuses!$BR$3,IF(LEFT(A342)="G",Bonuses!$BS$3,IF(LEFT(A342)="Q",Bonuses!$BT$3,IF(LEFT(A342)="S",Bonuses!$BU$3,IF(LEFT(A342)="R",Bonuses!$BV$3,0))))))+P342</f>
        <v>-1</v>
      </c>
      <c r="L342" s="80">
        <v>7</v>
      </c>
      <c r="M342" s="75">
        <v>10</v>
      </c>
      <c r="N342" s="75">
        <v>3</v>
      </c>
      <c r="O342" s="380"/>
      <c r="P342" s="380"/>
      <c r="R342" s="83">
        <v>25000</v>
      </c>
    </row>
    <row r="344" spans="1:24" ht="15" customHeight="1" x14ac:dyDescent="0.2">
      <c r="A344" s="73"/>
      <c r="B344" s="73" t="s">
        <v>1099</v>
      </c>
      <c r="C344" s="74" t="s">
        <v>149</v>
      </c>
      <c r="D344" s="97" t="s">
        <v>231</v>
      </c>
      <c r="E344" s="97" t="s">
        <v>265</v>
      </c>
      <c r="F344" s="97" t="s">
        <v>266</v>
      </c>
      <c r="G344" s="74" t="s">
        <v>2</v>
      </c>
      <c r="H344" s="74" t="s">
        <v>232</v>
      </c>
      <c r="I344" s="74" t="s">
        <v>234</v>
      </c>
      <c r="J344" s="393" t="s">
        <v>233</v>
      </c>
      <c r="K344" s="75" t="s">
        <v>149</v>
      </c>
      <c r="L344" s="75" t="s">
        <v>235</v>
      </c>
      <c r="M344" s="75" t="s">
        <v>236</v>
      </c>
      <c r="N344" s="76" t="s">
        <v>269</v>
      </c>
      <c r="O344" s="3" t="s">
        <v>169</v>
      </c>
      <c r="P344" s="3" t="s">
        <v>171</v>
      </c>
      <c r="Q344" s="77" t="s">
        <v>237</v>
      </c>
      <c r="R344" s="78" t="s">
        <v>238</v>
      </c>
      <c r="T344" s="2" t="s">
        <v>1374</v>
      </c>
      <c r="U344" s="424"/>
      <c r="V344" s="424"/>
      <c r="W344" s="424"/>
      <c r="X344" s="425" t="s">
        <v>1403</v>
      </c>
    </row>
    <row r="345" spans="1:24" ht="12.75" x14ac:dyDescent="0.2">
      <c r="A345" s="95" t="s">
        <v>239</v>
      </c>
      <c r="B345" s="79" t="s">
        <v>672</v>
      </c>
      <c r="C345" s="126">
        <v>0</v>
      </c>
      <c r="D345" s="125">
        <f>M345+O345+(K345*N345)+IF(OR(LEFT(A345)="G",LEFT(A345)="S"),Stats!$E$3-15+Bonuses!$BO$3,IF(OR(LEFT(A345)="Q",LEFT(A345)="R"),Bonuses!$BQ$3,Bonuses!$BP$3))</f>
        <v>5</v>
      </c>
      <c r="E345" s="125">
        <f t="shared" ref="E345:E376" si="32">D345*0.15</f>
        <v>0.75</v>
      </c>
      <c r="F345" s="125">
        <f t="shared" ref="F345:F376" si="33">D345*0.05</f>
        <v>0.25</v>
      </c>
      <c r="G345" s="84" t="str">
        <f>5*(10+K345)&amp;" Feet"</f>
        <v>50 Feet</v>
      </c>
      <c r="I345" s="392" t="s">
        <v>673</v>
      </c>
      <c r="J345" s="394">
        <v>75</v>
      </c>
      <c r="K345" s="80">
        <f>IF(ISERROR(C345*1),-1,C345+IF(LEFT(A345)="T",Bonuses!$BR$3,IF(LEFT(A345)="G",Bonuses!$BS$3,IF(LEFT(A345)="Q",Bonuses!$BT$3,IF(LEFT(A345)="S",Bonuses!$BU$3,IF(LEFT(A345)="R",Bonuses!$BV$3,0))))))+P345</f>
        <v>0</v>
      </c>
      <c r="L345" s="80">
        <v>0</v>
      </c>
      <c r="M345" s="75">
        <f>Stats!$I$3</f>
        <v>5</v>
      </c>
      <c r="N345" s="75">
        <v>5</v>
      </c>
      <c r="O345" s="380"/>
      <c r="P345" s="380"/>
      <c r="T345" s="5">
        <v>-5</v>
      </c>
      <c r="U345" s="5"/>
      <c r="V345" s="5"/>
      <c r="W345" s="5"/>
      <c r="X345" s="5" t="s">
        <v>1404</v>
      </c>
    </row>
    <row r="346" spans="1:24" ht="12.75" x14ac:dyDescent="0.2">
      <c r="A346" s="95" t="s">
        <v>611</v>
      </c>
      <c r="B346" s="79" t="s">
        <v>674</v>
      </c>
      <c r="C346" s="126">
        <v>0</v>
      </c>
      <c r="D346" s="125">
        <f>M346+O346+(K346*N346)+IF(OR(LEFT(A346)="G",LEFT(A346)="S"),Stats!$E$3-15+Bonuses!$BO$3,IF(OR(LEFT(A346)="Q",LEFT(A346)="R"),Bonuses!$BQ$3,Bonuses!$BP$3))</f>
        <v>15</v>
      </c>
      <c r="E346" s="125">
        <f t="shared" si="32"/>
        <v>2.25</v>
      </c>
      <c r="F346" s="125">
        <f t="shared" si="33"/>
        <v>0.75</v>
      </c>
      <c r="G346" s="84"/>
      <c r="H346" s="85"/>
      <c r="I346" s="392" t="s">
        <v>675</v>
      </c>
      <c r="J346" s="394">
        <v>75</v>
      </c>
      <c r="K346" s="80">
        <f>IF(ISERROR(C346*1),-1,C346+IF(LEFT(A346)="T",Bonuses!$BR$3,IF(LEFT(A346)="G",Bonuses!$BS$3,IF(LEFT(A346)="Q",Bonuses!$BT$3,IF(LEFT(A346)="S",Bonuses!$BU$3,IF(LEFT(A346)="R",Bonuses!$BV$3,0))))))+P346</f>
        <v>0</v>
      </c>
      <c r="L346" s="80">
        <v>0</v>
      </c>
      <c r="M346" s="75">
        <f>Stats!$E$3</f>
        <v>15</v>
      </c>
      <c r="N346" s="75">
        <v>5</v>
      </c>
      <c r="O346" s="380"/>
      <c r="P346" s="380"/>
      <c r="T346" s="5">
        <v>-10</v>
      </c>
      <c r="U346" s="5"/>
      <c r="V346" s="5"/>
      <c r="W346" s="5"/>
      <c r="X346" s="5" t="s">
        <v>1405</v>
      </c>
    </row>
    <row r="347" spans="1:24" ht="12.75" x14ac:dyDescent="0.2">
      <c r="A347" s="95" t="s">
        <v>241</v>
      </c>
      <c r="B347" s="79" t="s">
        <v>676</v>
      </c>
      <c r="C347" s="126">
        <v>0</v>
      </c>
      <c r="D347" s="125">
        <f>M347+O347+(K347*N347)+IF(OR(LEFT(A347)="G",LEFT(A347)="S"),Stats!$E$3-15+Bonuses!$BO$3,IF(OR(LEFT(A347)="Q",LEFT(A347)="R"),Bonuses!$BQ$3,Bonuses!$BP$3))</f>
        <v>40</v>
      </c>
      <c r="E347" s="125">
        <f t="shared" si="32"/>
        <v>6</v>
      </c>
      <c r="F347" s="125">
        <f t="shared" si="33"/>
        <v>2</v>
      </c>
      <c r="G347" s="84" t="str">
        <f>25*(1+K347)&amp;" Feet"</f>
        <v>25 Feet</v>
      </c>
      <c r="H347" s="85" t="s">
        <v>240</v>
      </c>
      <c r="I347" s="94" t="str">
        <f>"D+"&amp;K347&amp;" Dam. Res 0"</f>
        <v>D+0 Dam. Res 0</v>
      </c>
      <c r="J347" s="394">
        <v>200</v>
      </c>
      <c r="K347" s="80">
        <f>IF(ISERROR(C347*1),-1,C347+IF(LEFT(A347)="T",Bonuses!$BR$3,IF(LEFT(A347)="G",Bonuses!$BS$3,IF(LEFT(A347)="Q",Bonuses!$BT$3,IF(LEFT(A347)="S",Bonuses!$BU$3,IF(LEFT(A347)="R",Bonuses!$BV$3,0))))))+P347</f>
        <v>0</v>
      </c>
      <c r="L347" s="80">
        <v>1</v>
      </c>
      <c r="M347" s="75">
        <v>40</v>
      </c>
      <c r="N347" s="75">
        <v>3</v>
      </c>
      <c r="O347" s="380"/>
      <c r="P347" s="380"/>
      <c r="Q347" s="86">
        <f>MAX((MAX(Stats!$E$2,Ranking!$C$13)-15)*5,0)</f>
        <v>0</v>
      </c>
      <c r="R347" s="83">
        <v>300</v>
      </c>
      <c r="T347" s="5">
        <v>-15</v>
      </c>
      <c r="U347" s="5"/>
      <c r="V347" s="5"/>
      <c r="W347" s="5"/>
      <c r="X347" s="5" t="s">
        <v>1406</v>
      </c>
    </row>
    <row r="348" spans="1:24" ht="12.75" x14ac:dyDescent="0.2">
      <c r="A348" s="95" t="s">
        <v>242</v>
      </c>
      <c r="B348" s="79" t="s">
        <v>677</v>
      </c>
      <c r="C348" s="126">
        <v>0</v>
      </c>
      <c r="D348" s="125">
        <f>M348+O348+(K348*N348)+IF(OR(LEFT(A348)="G",LEFT(A348)="S"),Stats!$E$3-15+Bonuses!$BO$3,IF(OR(LEFT(A348)="Q",LEFT(A348)="R"),Bonuses!$BQ$3,Bonuses!$BP$3))</f>
        <v>50</v>
      </c>
      <c r="E348" s="125">
        <f t="shared" si="32"/>
        <v>7.5</v>
      </c>
      <c r="F348" s="125">
        <f t="shared" si="33"/>
        <v>2.5</v>
      </c>
      <c r="G348" s="84" t="str">
        <f>15*(1+K348)&amp;" Feet"</f>
        <v>15 Feet</v>
      </c>
      <c r="H348" s="85" t="s">
        <v>240</v>
      </c>
      <c r="I348" s="94" t="str">
        <f>"Ext. Fire in "&amp;10*(1+K348)&amp;"'r Sphere"</f>
        <v>Ext. Fire in 10'r Sphere</v>
      </c>
      <c r="J348" s="394">
        <v>100</v>
      </c>
      <c r="K348" s="80">
        <f>IF(ISERROR(C348*1),-1,C348+IF(LEFT(A348)="T",Bonuses!$BR$3,IF(LEFT(A348)="G",Bonuses!$BS$3,IF(LEFT(A348)="Q",Bonuses!$BT$3,IF(LEFT(A348)="S",Bonuses!$BU$3,IF(LEFT(A348)="R",Bonuses!$BV$3,0))))))+P348</f>
        <v>0</v>
      </c>
      <c r="L348" s="80">
        <v>1</v>
      </c>
      <c r="M348" s="75">
        <v>50</v>
      </c>
      <c r="N348" s="75">
        <v>3</v>
      </c>
      <c r="O348" s="380"/>
      <c r="P348" s="380"/>
      <c r="Q348" s="86">
        <f>MAX((MAX(Stats!$E$2,Ranking!$C$13)-15)*5,0)</f>
        <v>0</v>
      </c>
      <c r="R348" s="83">
        <v>300</v>
      </c>
      <c r="T348" s="5"/>
      <c r="U348" s="5"/>
      <c r="V348" s="5"/>
      <c r="W348" s="5"/>
      <c r="X348" s="5"/>
    </row>
    <row r="349" spans="1:24" ht="12.75" x14ac:dyDescent="0.2">
      <c r="A349" s="95" t="s">
        <v>243</v>
      </c>
      <c r="B349" s="79" t="s">
        <v>678</v>
      </c>
      <c r="C349" s="126">
        <v>0</v>
      </c>
      <c r="D349" s="125">
        <f>M349+O349+(K349*N349)+IF(OR(LEFT(A349)="G",LEFT(A349)="S"),Stats!$E$3-15+Bonuses!$BO$3,IF(OR(LEFT(A349)="Q",LEFT(A349)="R"),Bonuses!$BQ$3,Bonuses!$BP$3))</f>
        <v>25</v>
      </c>
      <c r="E349" s="125">
        <f t="shared" si="32"/>
        <v>3.75</v>
      </c>
      <c r="F349" s="125">
        <f t="shared" si="33"/>
        <v>1.25</v>
      </c>
      <c r="G349" s="84" t="s">
        <v>679</v>
      </c>
      <c r="H349" s="85" t="str">
        <f>1*(1+K349)&amp;" Hours"</f>
        <v>1 Hours</v>
      </c>
      <c r="I349" s="94" t="str">
        <f>IF(B349=20,100,4*(1+K349))&amp;" Prot"</f>
        <v>4 Prot</v>
      </c>
      <c r="J349" s="394">
        <v>200</v>
      </c>
      <c r="K349" s="80">
        <f>IF(ISERROR(C349*1),-1,C349+IF(LEFT(A349)="T",Bonuses!$BR$3,IF(LEFT(A349)="G",Bonuses!$BS$3,IF(LEFT(A349)="Q",Bonuses!$BT$3,IF(LEFT(A349)="S",Bonuses!$BU$3,IF(LEFT(A349)="R",Bonuses!$BV$3,0))))))+P349</f>
        <v>0</v>
      </c>
      <c r="L349" s="80">
        <v>1</v>
      </c>
      <c r="M349" s="75">
        <v>25</v>
      </c>
      <c r="N349" s="75">
        <v>3</v>
      </c>
      <c r="O349" s="380"/>
      <c r="P349" s="380"/>
      <c r="Q349" s="86">
        <f>MAX((MAX(Stats!$E$2,Ranking!$C$13)-15)*5,0)</f>
        <v>0</v>
      </c>
      <c r="R349" s="83">
        <v>300</v>
      </c>
      <c r="T349" s="5">
        <v>5</v>
      </c>
      <c r="U349" s="5"/>
      <c r="V349" s="5"/>
      <c r="W349" s="5"/>
      <c r="X349" s="5" t="s">
        <v>1407</v>
      </c>
    </row>
    <row r="350" spans="1:24" ht="12.75" x14ac:dyDescent="0.2">
      <c r="A350" s="95" t="s">
        <v>245</v>
      </c>
      <c r="B350" s="79" t="s">
        <v>680</v>
      </c>
      <c r="C350" s="126">
        <v>0</v>
      </c>
      <c r="D350" s="125">
        <f>M350+O350+(K350*N350)+IF(OR(LEFT(A350)="G",LEFT(A350)="S"),Stats!$E$3-15+Bonuses!$BO$3,IF(OR(LEFT(A350)="Q",LEFT(A350)="R"),Bonuses!$BQ$3,Bonuses!$BP$3))</f>
        <v>50</v>
      </c>
      <c r="E350" s="125">
        <f t="shared" si="32"/>
        <v>7.5</v>
      </c>
      <c r="F350" s="125">
        <f t="shared" si="33"/>
        <v>2.5</v>
      </c>
      <c r="G350" s="84" t="s">
        <v>679</v>
      </c>
      <c r="H350" s="85" t="str">
        <f>1/2*(1+K350)&amp;" Hours"</f>
        <v>0.5 Hours</v>
      </c>
      <c r="I350" s="94" t="str">
        <f>IF(K350&lt;6,"Torch",IF(K350&lt;11,"Small Campfire",IF(K350&lt;16,"Large campfire","Bonfire")))</f>
        <v>Torch</v>
      </c>
      <c r="J350" s="394">
        <v>75</v>
      </c>
      <c r="K350" s="80">
        <f>IF(ISERROR(C350*1),-1,C350+IF(LEFT(A350)="T",Bonuses!$BR$3,IF(LEFT(A350)="G",Bonuses!$BS$3,IF(LEFT(A350)="Q",Bonuses!$BT$3,IF(LEFT(A350)="S",Bonuses!$BU$3,IF(LEFT(A350)="R",Bonuses!$BV$3,0))))))+P350</f>
        <v>0</v>
      </c>
      <c r="L350" s="80">
        <v>1</v>
      </c>
      <c r="M350" s="75">
        <v>50</v>
      </c>
      <c r="N350" s="75">
        <v>3</v>
      </c>
      <c r="O350" s="380"/>
      <c r="P350" s="380"/>
      <c r="Q350" s="86">
        <f>MAX((MAX(Stats!$E$2,Ranking!$C$13)-15)*5,0)</f>
        <v>0</v>
      </c>
      <c r="R350" s="83">
        <v>300</v>
      </c>
      <c r="T350" s="5">
        <v>10</v>
      </c>
      <c r="U350" s="5"/>
      <c r="V350" s="5"/>
      <c r="W350" s="5"/>
      <c r="X350" s="5" t="s">
        <v>1408</v>
      </c>
    </row>
    <row r="351" spans="1:24" ht="12.75" x14ac:dyDescent="0.2">
      <c r="A351" s="95" t="s">
        <v>246</v>
      </c>
      <c r="B351" s="79" t="s">
        <v>681</v>
      </c>
      <c r="C351" s="126">
        <v>0</v>
      </c>
      <c r="D351" s="125">
        <f>M351+O351+(K351*N351)+IF(OR(LEFT(A351)="G",LEFT(A351)="S"),Stats!$E$3-15+Bonuses!$BO$3,IF(OR(LEFT(A351)="Q",LEFT(A351)="R"),Bonuses!$BQ$3,Bonuses!$BP$3))</f>
        <v>30</v>
      </c>
      <c r="E351" s="125">
        <f t="shared" si="32"/>
        <v>4.5</v>
      </c>
      <c r="F351" s="125">
        <f t="shared" si="33"/>
        <v>1.5</v>
      </c>
      <c r="G351" s="84" t="s">
        <v>679</v>
      </c>
      <c r="H351" s="85" t="str">
        <f>1*(1+K351)&amp;" Hours"</f>
        <v>1 Hours</v>
      </c>
      <c r="I351" s="94" t="str">
        <f>1+CEILING(K351/4,1)&amp;" Less Damage"</f>
        <v>1 Less Damage</v>
      </c>
      <c r="J351" s="394">
        <v>150</v>
      </c>
      <c r="K351" s="80">
        <f>IF(ISERROR(C351*1),-1,C351+IF(LEFT(A351)="T",Bonuses!$BR$3,IF(LEFT(A351)="G",Bonuses!$BS$3,IF(LEFT(A351)="Q",Bonuses!$BT$3,IF(LEFT(A351)="S",Bonuses!$BU$3,IF(LEFT(A351)="R",Bonuses!$BV$3,0))))))+P351</f>
        <v>0</v>
      </c>
      <c r="L351" s="80">
        <v>1</v>
      </c>
      <c r="M351" s="75">
        <v>30</v>
      </c>
      <c r="N351" s="75">
        <v>3</v>
      </c>
      <c r="O351" s="380"/>
      <c r="P351" s="380"/>
      <c r="Q351" s="86">
        <f>MAX((MAX(Stats!$E$2,Ranking!$C$13)-15)*5,0)</f>
        <v>0</v>
      </c>
      <c r="R351" s="83">
        <v>300</v>
      </c>
      <c r="T351" s="5">
        <v>5</v>
      </c>
      <c r="U351" s="5"/>
      <c r="V351" s="5"/>
      <c r="W351" s="5"/>
      <c r="X351" s="5" t="s">
        <v>1409</v>
      </c>
    </row>
    <row r="352" spans="1:24" ht="12.75" x14ac:dyDescent="0.2">
      <c r="A352" s="95" t="s">
        <v>247</v>
      </c>
      <c r="B352" s="79" t="s">
        <v>682</v>
      </c>
      <c r="C352" s="126">
        <v>0</v>
      </c>
      <c r="D352" s="125">
        <f>M352+O352+(K352*N352)+IF(OR(LEFT(A352)="G",LEFT(A352)="S"),Stats!$E$3-15+Bonuses!$BO$3,IF(OR(LEFT(A352)="Q",LEFT(A352)="R"),Bonuses!$BQ$3,Bonuses!$BP$3))</f>
        <v>35</v>
      </c>
      <c r="E352" s="125">
        <f t="shared" si="32"/>
        <v>5.25</v>
      </c>
      <c r="F352" s="125">
        <f t="shared" si="33"/>
        <v>1.75</v>
      </c>
      <c r="G352" s="84" t="s">
        <v>679</v>
      </c>
      <c r="H352" s="85" t="str">
        <f>5*(1+K352)&amp;" Mins"</f>
        <v>5 Mins</v>
      </c>
      <c r="I352" s="94" t="str">
        <f>1+K352&amp;" Hrs for Gases"</f>
        <v>1 Hrs for Gases</v>
      </c>
      <c r="J352" s="394">
        <v>100</v>
      </c>
      <c r="K352" s="80">
        <f>IF(ISERROR(C352*1),-1,C352+IF(LEFT(A352)="T",Bonuses!$BR$3,IF(LEFT(A352)="G",Bonuses!$BS$3,IF(LEFT(A352)="Q",Bonuses!$BT$3,IF(LEFT(A352)="S",Bonuses!$BU$3,IF(LEFT(A352)="R",Bonuses!$BV$3,0))))))+P352</f>
        <v>0</v>
      </c>
      <c r="L352" s="80">
        <v>1</v>
      </c>
      <c r="M352" s="75">
        <v>35</v>
      </c>
      <c r="N352" s="75">
        <v>3</v>
      </c>
      <c r="O352" s="380"/>
      <c r="P352" s="380"/>
      <c r="Q352" s="86">
        <f>MAX((MAX(Stats!$E$2,Ranking!$C$13)-15)*5,0)</f>
        <v>0</v>
      </c>
      <c r="R352" s="83">
        <v>300</v>
      </c>
      <c r="T352" s="5">
        <v>5</v>
      </c>
      <c r="U352" s="5"/>
      <c r="V352" s="5"/>
      <c r="W352" s="5"/>
      <c r="X352" s="5" t="s">
        <v>1410</v>
      </c>
    </row>
    <row r="353" spans="1:24" ht="12.75" x14ac:dyDescent="0.2">
      <c r="A353" s="95" t="s">
        <v>248</v>
      </c>
      <c r="B353" s="79" t="s">
        <v>683</v>
      </c>
      <c r="C353" s="126">
        <v>0</v>
      </c>
      <c r="D353" s="125">
        <f>M353+O353+(K353*N353)+IF(OR(LEFT(A353)="G",LEFT(A353)="S"),Stats!$E$3-15+Bonuses!$BO$3,IF(OR(LEFT(A353)="Q",LEFT(A353)="R"),Bonuses!$BQ$3,Bonuses!$BP$3))</f>
        <v>20</v>
      </c>
      <c r="E353" s="125">
        <f t="shared" si="32"/>
        <v>3</v>
      </c>
      <c r="F353" s="125">
        <f t="shared" si="33"/>
        <v>1</v>
      </c>
      <c r="G353" s="84" t="str">
        <f>5*(1+K353)&amp;" Feet"</f>
        <v>5 Feet</v>
      </c>
      <c r="H353" s="85" t="str">
        <f>1*(1+K353)&amp;" Hours"</f>
        <v>1 Hours</v>
      </c>
      <c r="I353" s="94" t="s">
        <v>684</v>
      </c>
      <c r="J353" s="394">
        <v>100</v>
      </c>
      <c r="K353" s="80">
        <f>IF(ISERROR(C353*1),-1,C353+IF(LEFT(A353)="T",Bonuses!$BR$3,IF(LEFT(A353)="G",Bonuses!$BS$3,IF(LEFT(A353)="Q",Bonuses!$BT$3,IF(LEFT(A353)="S",Bonuses!$BU$3,IF(LEFT(A353)="R",Bonuses!$BV$3,0))))))+P353</f>
        <v>0</v>
      </c>
      <c r="L353" s="80">
        <v>1</v>
      </c>
      <c r="M353" s="75">
        <v>20</v>
      </c>
      <c r="N353" s="75">
        <v>3</v>
      </c>
      <c r="O353" s="380"/>
      <c r="P353" s="380"/>
      <c r="Q353" s="86">
        <f>MAX((MAX(Stats!$E$2,Ranking!$C$13)-15)*5,0)</f>
        <v>0</v>
      </c>
      <c r="R353" s="83">
        <v>300</v>
      </c>
      <c r="T353" s="5">
        <v>10</v>
      </c>
      <c r="U353" s="5"/>
      <c r="V353" s="5"/>
      <c r="W353" s="5"/>
      <c r="X353" s="5" t="s">
        <v>1411</v>
      </c>
    </row>
    <row r="354" spans="1:24" ht="12.75" x14ac:dyDescent="0.2">
      <c r="A354" s="95" t="s">
        <v>249</v>
      </c>
      <c r="B354" s="79" t="s">
        <v>685</v>
      </c>
      <c r="C354" s="126">
        <v>0</v>
      </c>
      <c r="D354" s="125">
        <f>M354+O354+(K354*N354)+IF(OR(LEFT(A354)="G",LEFT(A354)="S"),Stats!$E$3-15+Bonuses!$BO$3,IF(OR(LEFT(A354)="Q",LEFT(A354)="R"),Bonuses!$BQ$3,Bonuses!$BP$3))</f>
        <v>25</v>
      </c>
      <c r="E354" s="125">
        <f t="shared" si="32"/>
        <v>3.75</v>
      </c>
      <c r="F354" s="125">
        <f t="shared" si="33"/>
        <v>1.25</v>
      </c>
      <c r="G354" s="84" t="str">
        <f>10*(1+K354)&amp;" Feet"</f>
        <v>10 Feet</v>
      </c>
      <c r="H354" s="85" t="str">
        <f>1/2*(1+K354)&amp;" Hours"</f>
        <v>0.5 Hours</v>
      </c>
      <c r="I354" s="94" t="str">
        <f>500*(2+K354)&amp;"'cu smoke -"&amp;TRUNC(K354/5,0)&amp;"x PC"</f>
        <v>1000'cu smoke -0x PC</v>
      </c>
      <c r="J354" s="394">
        <v>75</v>
      </c>
      <c r="K354" s="80">
        <f>IF(ISERROR(C354*1),-1,C354+IF(LEFT(A354)="T",Bonuses!$BR$3,IF(LEFT(A354)="G",Bonuses!$BS$3,IF(LEFT(A354)="Q",Bonuses!$BT$3,IF(LEFT(A354)="S",Bonuses!$BU$3,IF(LEFT(A354)="R",Bonuses!$BV$3,0))))))+P354</f>
        <v>0</v>
      </c>
      <c r="L354" s="80">
        <v>1</v>
      </c>
      <c r="M354" s="75">
        <v>25</v>
      </c>
      <c r="N354" s="75">
        <v>3</v>
      </c>
      <c r="O354" s="380"/>
      <c r="P354" s="380"/>
      <c r="Q354" s="86">
        <f>MAX((MAX(Stats!$E$2,Ranking!$C$13)-15)*5,0)</f>
        <v>0</v>
      </c>
      <c r="R354" s="83">
        <v>300</v>
      </c>
      <c r="T354" s="5">
        <v>15</v>
      </c>
      <c r="U354" s="5"/>
      <c r="V354" s="5"/>
      <c r="W354" s="5"/>
      <c r="X354" s="5" t="s">
        <v>1412</v>
      </c>
    </row>
    <row r="355" spans="1:24" x14ac:dyDescent="0.2">
      <c r="A355" s="96" t="s">
        <v>268</v>
      </c>
      <c r="B355" s="87" t="s">
        <v>652</v>
      </c>
      <c r="C355" s="126">
        <v>0</v>
      </c>
      <c r="D355" s="125">
        <f>M355+O355+(K355*N355)+IF(OR(LEFT(A355)="G",LEFT(A355)="S"),Stats!$E$3-15+Bonuses!$BO$3,IF(OR(LEFT(A355)="Q",LEFT(A355)="R"),Bonuses!$BQ$3,Bonuses!$BP$3))</f>
        <v>40</v>
      </c>
      <c r="E355" s="125">
        <f t="shared" si="32"/>
        <v>6</v>
      </c>
      <c r="F355" s="125">
        <f t="shared" si="33"/>
        <v>2</v>
      </c>
      <c r="G355" s="84" t="str">
        <f>25+(25*K355)&amp;" Feet"</f>
        <v>25 Feet</v>
      </c>
      <c r="H355" s="88" t="str">
        <f>"D+"&amp;5+K355&amp;" Mins"</f>
        <v>D+5 Mins</v>
      </c>
      <c r="I355" s="90" t="str">
        <f>CONCATENATE("+",30 + (K355*3)," to MR.")</f>
        <v>+30 to MR.</v>
      </c>
      <c r="J355" s="395">
        <v>100</v>
      </c>
      <c r="K355" s="80">
        <f>IF(ISERROR(C355*1),-1,C355+IF(LEFT(A355)="T",Bonuses!$BR$3,IF(LEFT(A355)="G",Bonuses!$BS$3,IF(LEFT(A355)="Q",Bonuses!$BT$3,IF(LEFT(A355)="S",Bonuses!$BU$3,IF(LEFT(A355)="R",Bonuses!$BV$3,0))))))+P355</f>
        <v>0</v>
      </c>
      <c r="L355" s="80">
        <v>1</v>
      </c>
      <c r="M355" s="89">
        <v>40</v>
      </c>
      <c r="N355" s="75">
        <v>3</v>
      </c>
      <c r="O355" s="380"/>
      <c r="P355" s="380"/>
      <c r="Q355" s="86">
        <f>MAX((MAX(Stats!$E$2,Ranking!$C$13)-15)*5,0)</f>
        <v>0</v>
      </c>
      <c r="R355" s="83">
        <v>300</v>
      </c>
    </row>
    <row r="356" spans="1:24" x14ac:dyDescent="0.2">
      <c r="A356" s="96" t="s">
        <v>268</v>
      </c>
      <c r="B356" s="87" t="s">
        <v>653</v>
      </c>
      <c r="C356" s="126">
        <v>0</v>
      </c>
      <c r="D356" s="125">
        <f>M356+O356+(K356*N356)+IF(OR(LEFT(A356)="G",LEFT(A356)="S"),Stats!$E$3-15+Bonuses!$BO$3,IF(OR(LEFT(A356)="Q",LEFT(A356)="R"),Bonuses!$BQ$3,Bonuses!$BP$3))</f>
        <v>40</v>
      </c>
      <c r="E356" s="125">
        <f t="shared" si="32"/>
        <v>6</v>
      </c>
      <c r="F356" s="125">
        <f t="shared" si="33"/>
        <v>2</v>
      </c>
      <c r="G356" s="84" t="str">
        <f>25+(25*K356)&amp;" Feet"</f>
        <v>25 Feet</v>
      </c>
      <c r="H356" s="88" t="str">
        <f>"D+"&amp;5+K356&amp;" Mins"</f>
        <v>D+5 Mins</v>
      </c>
      <c r="I356" s="90" t="str">
        <f>CONCATENATE("+",30 + (K356*3)," to MR.")</f>
        <v>+30 to MR.</v>
      </c>
      <c r="J356" s="395">
        <v>200</v>
      </c>
      <c r="K356" s="80">
        <f>IF(ISERROR(C356*1),-1,C356+IF(LEFT(A356)="T",Bonuses!$BR$3,IF(LEFT(A356)="G",Bonuses!$BS$3,IF(LEFT(A356)="Q",Bonuses!$BT$3,IF(LEFT(A356)="S",Bonuses!$BU$3,IF(LEFT(A356)="R",Bonuses!$BV$3,0))))))+P356</f>
        <v>0</v>
      </c>
      <c r="L356" s="80">
        <v>1</v>
      </c>
      <c r="M356" s="89">
        <v>40</v>
      </c>
      <c r="N356" s="75">
        <v>3</v>
      </c>
      <c r="O356" s="380"/>
      <c r="P356" s="380"/>
      <c r="Q356" s="86">
        <f>MAX((MAX(Stats!$E$2,Ranking!$C$13)-15)*5,0)</f>
        <v>0</v>
      </c>
      <c r="R356" s="83">
        <v>300</v>
      </c>
    </row>
    <row r="357" spans="1:24" x14ac:dyDescent="0.2">
      <c r="A357" s="95" t="s">
        <v>251</v>
      </c>
      <c r="B357" s="79" t="s">
        <v>686</v>
      </c>
      <c r="C357" s="126">
        <v>0</v>
      </c>
      <c r="D357" s="125">
        <f>M357+O357+(K357*N357)+IF(OR(LEFT(A357)="G",LEFT(A357)="S"),Stats!$E$3-15+Bonuses!$BO$3,IF(OR(LEFT(A357)="Q",LEFT(A357)="R"),Bonuses!$BQ$3,Bonuses!$BP$3))</f>
        <v>10</v>
      </c>
      <c r="E357" s="125">
        <f t="shared" si="32"/>
        <v>1.5</v>
      </c>
      <c r="F357" s="125">
        <f t="shared" si="33"/>
        <v>0.5</v>
      </c>
      <c r="G357" s="84" t="str">
        <f>400*(1+K357)&amp;" Feet"</f>
        <v>400 Feet</v>
      </c>
      <c r="H357" s="85" t="str">
        <f>1*(1+K357)&amp;" Hours"</f>
        <v>1 Hours</v>
      </c>
      <c r="J357" s="394">
        <v>500</v>
      </c>
      <c r="K357" s="80">
        <f>IF(ISERROR(C357*1),-1,C357+IF(LEFT(A357)="T",Bonuses!$BR$3,IF(LEFT(A357)="G",Bonuses!$BS$3,IF(LEFT(A357)="Q",Bonuses!$BT$3,IF(LEFT(A357)="S",Bonuses!$BU$3,IF(LEFT(A357)="R",Bonuses!$BV$3,0))))))+P357</f>
        <v>0</v>
      </c>
      <c r="L357" s="80">
        <v>7</v>
      </c>
      <c r="M357" s="75">
        <v>10</v>
      </c>
      <c r="N357" s="75">
        <v>3</v>
      </c>
      <c r="O357" s="380"/>
      <c r="P357" s="380"/>
      <c r="Q357" s="86">
        <f>MAX((MAX(Stats!$E$2,Ranking!$C$13)-15)*5,0)</f>
        <v>0</v>
      </c>
      <c r="R357" s="83">
        <v>300</v>
      </c>
    </row>
    <row r="358" spans="1:24" x14ac:dyDescent="0.2">
      <c r="A358" s="96" t="s">
        <v>267</v>
      </c>
      <c r="B358" s="87" t="s">
        <v>252</v>
      </c>
      <c r="C358" s="126">
        <v>0</v>
      </c>
      <c r="D358" s="125">
        <f>M358+O358+(K358*N358)+IF(OR(LEFT(A358)="G",LEFT(A358)="S"),Stats!$E$3-15+Bonuses!$BO$3,IF(OR(LEFT(A358)="Q",LEFT(A358)="R"),Bonuses!$BQ$3,Bonuses!$BP$3))</f>
        <v>30</v>
      </c>
      <c r="E358" s="125">
        <f t="shared" si="32"/>
        <v>4.5</v>
      </c>
      <c r="F358" s="125">
        <f t="shared" si="33"/>
        <v>1.5</v>
      </c>
      <c r="G358" s="81"/>
      <c r="H358" s="88" t="str">
        <f>4+(4*K358)&amp;" Hours"</f>
        <v>4 Hours</v>
      </c>
      <c r="I358" s="90" t="str">
        <f>CONCATENATE("+ ",K358," MR. +",TRUNC(K358/5)," MA.")</f>
        <v>+ 0 MR. +0 MA.</v>
      </c>
      <c r="J358" s="395">
        <v>200</v>
      </c>
      <c r="K358" s="80">
        <f>IF(ISERROR(C358*1),-1,C358+IF(LEFT(A358)="T",Bonuses!$BR$3,IF(LEFT(A358)="G",Bonuses!$BS$3,IF(LEFT(A358)="Q",Bonuses!$BT$3,IF(LEFT(A358)="S",Bonuses!$BU$3,IF(LEFT(A358)="R",Bonuses!$BV$3,0))))))+P358</f>
        <v>0</v>
      </c>
      <c r="L358" s="84">
        <v>7</v>
      </c>
      <c r="M358" s="89">
        <f>Stats!$E$3+Stats!$F$3</f>
        <v>30</v>
      </c>
      <c r="N358" s="75">
        <v>3</v>
      </c>
      <c r="O358" s="380"/>
      <c r="P358" s="380"/>
      <c r="Q358" s="86">
        <f>MAX((MAX(Stats!$E$2,Ranking!$C$13)-15)*5,0)</f>
        <v>0</v>
      </c>
      <c r="R358" s="91">
        <v>300</v>
      </c>
    </row>
    <row r="359" spans="1:24" x14ac:dyDescent="0.2">
      <c r="A359" s="95" t="s">
        <v>253</v>
      </c>
      <c r="B359" s="79" t="s">
        <v>687</v>
      </c>
      <c r="C359" s="126" t="s">
        <v>283</v>
      </c>
      <c r="D359" s="125">
        <f>M359+O359+(K359*N359)+IF(OR(LEFT(A359)="G",LEFT(A359)="S"),Stats!$E$3-15+Bonuses!$BO$3,IF(OR(LEFT(A359)="Q",LEFT(A359)="R"),Bonuses!$BQ$3,Bonuses!$BP$3))</f>
        <v>17</v>
      </c>
      <c r="E359" s="125">
        <f t="shared" si="32"/>
        <v>2.5499999999999998</v>
      </c>
      <c r="F359" s="125">
        <f t="shared" si="33"/>
        <v>0.85000000000000009</v>
      </c>
      <c r="G359" s="84" t="str">
        <f>10*(1+MAX(0,K359-10))&amp;" Feet"</f>
        <v>10 Feet</v>
      </c>
      <c r="H359" s="85" t="str">
        <f>5*(25-K359)&amp;" Secs"</f>
        <v>130 Secs</v>
      </c>
      <c r="I359" s="94" t="str">
        <f>-25+K359&amp;"bc, Cure Psn(rk"&amp;ROUND(K359/2,0)&amp;"vs.Syn), Dis."</f>
        <v>-26bc, Cure Psn(rk-1vs.Syn), Dis.</v>
      </c>
      <c r="J359" s="394">
        <v>300</v>
      </c>
      <c r="K359" s="80">
        <f>IF(ISERROR(C359*1),-1,C359+IF(LEFT(A359)="T",Bonuses!$BR$3,IF(LEFT(A359)="G",Bonuses!$BS$3,IF(LEFT(A359)="Q",Bonuses!$BT$3,IF(LEFT(A359)="S",Bonuses!$BU$3,IF(LEFT(A359)="R",Bonuses!$BV$3,0))))))+P359</f>
        <v>-1</v>
      </c>
      <c r="L359" s="80">
        <v>1</v>
      </c>
      <c r="M359" s="75">
        <v>20</v>
      </c>
      <c r="N359" s="75">
        <v>3</v>
      </c>
      <c r="O359" s="380"/>
      <c r="P359" s="380"/>
      <c r="R359" s="83">
        <v>6000</v>
      </c>
    </row>
    <row r="360" spans="1:24" s="92" customFormat="1" x14ac:dyDescent="0.2">
      <c r="A360" s="95" t="s">
        <v>254</v>
      </c>
      <c r="B360" s="79" t="s">
        <v>688</v>
      </c>
      <c r="C360" s="126" t="s">
        <v>283</v>
      </c>
      <c r="D360" s="125">
        <f>M360+O360+(K360*N360)+IF(OR(LEFT(A360)="G",LEFT(A360)="S"),Stats!$E$3-15+Bonuses!$BO$3,IF(OR(LEFT(A360)="Q",LEFT(A360)="R"),Bonuses!$BQ$3,Bonuses!$BP$3))</f>
        <v>7</v>
      </c>
      <c r="E360" s="125">
        <f t="shared" si="32"/>
        <v>1.05</v>
      </c>
      <c r="F360" s="125">
        <f t="shared" si="33"/>
        <v>0.35000000000000003</v>
      </c>
      <c r="G360" s="84" t="str">
        <f>5*(4+K360)&amp;" Feet"</f>
        <v>15 Feet</v>
      </c>
      <c r="H360" s="85" t="s">
        <v>240</v>
      </c>
      <c r="I360" s="94" t="str">
        <f>5*ROUND(1+K360/3,0)&amp;"' w. D+"&amp;K360*3&amp;" Dam. Res 1/2"</f>
        <v>5' w. D+-3 Dam. Res 1/2</v>
      </c>
      <c r="J360" s="394">
        <v>500</v>
      </c>
      <c r="K360" s="80">
        <f>IF(ISERROR(C360*1),-1,C360+IF(LEFT(A360)="T",Bonuses!$BR$3,IF(LEFT(A360)="G",Bonuses!$BS$3,IF(LEFT(A360)="Q",Bonuses!$BT$3,IF(LEFT(A360)="S",Bonuses!$BU$3,IF(LEFT(A360)="R",Bonuses!$BV$3,0))))))+P360</f>
        <v>-1</v>
      </c>
      <c r="L360" s="80">
        <v>1</v>
      </c>
      <c r="M360" s="75">
        <v>10</v>
      </c>
      <c r="N360" s="75">
        <v>3</v>
      </c>
      <c r="O360" s="380"/>
      <c r="P360" s="380"/>
      <c r="Q360" s="82"/>
      <c r="R360" s="83">
        <v>50000</v>
      </c>
      <c r="S360" s="84"/>
    </row>
    <row r="361" spans="1:24" x14ac:dyDescent="0.2">
      <c r="A361" s="95" t="s">
        <v>255</v>
      </c>
      <c r="B361" s="79" t="s">
        <v>689</v>
      </c>
      <c r="C361" s="126" t="s">
        <v>283</v>
      </c>
      <c r="D361" s="125">
        <f>M361+O361+(K361*N361)+IF(OR(LEFT(A361)="G",LEFT(A361)="S"),Stats!$E$3-15+Bonuses!$BO$3,IF(OR(LEFT(A361)="Q",LEFT(A361)="R"),Bonuses!$BQ$3,Bonuses!$BP$3))</f>
        <v>12</v>
      </c>
      <c r="E361" s="125">
        <f t="shared" si="32"/>
        <v>1.7999999999999998</v>
      </c>
      <c r="F361" s="125">
        <f t="shared" si="33"/>
        <v>0.60000000000000009</v>
      </c>
      <c r="G361" s="84" t="s">
        <v>679</v>
      </c>
      <c r="H361" s="85" t="s">
        <v>240</v>
      </c>
      <c r="I361" s="94" t="str">
        <f>1+CEILING(K361/3,1)&amp;" Ent. "&amp;(K361+1)*25&amp;"'"</f>
        <v>1 Ent. 0'</v>
      </c>
      <c r="J361" s="394">
        <v>250</v>
      </c>
      <c r="K361" s="80">
        <f>IF(ISERROR(C361*1),-1,C361+IF(LEFT(A361)="T",Bonuses!$BR$3,IF(LEFT(A361)="G",Bonuses!$BS$3,IF(LEFT(A361)="Q",Bonuses!$BT$3,IF(LEFT(A361)="S",Bonuses!$BU$3,IF(LEFT(A361)="R",Bonuses!$BV$3,0))))))+P361</f>
        <v>-1</v>
      </c>
      <c r="L361" s="80">
        <v>1</v>
      </c>
      <c r="M361" s="75">
        <v>15</v>
      </c>
      <c r="N361" s="75">
        <v>3</v>
      </c>
      <c r="O361" s="380"/>
      <c r="P361" s="380"/>
      <c r="R361" s="83">
        <v>8000</v>
      </c>
    </row>
    <row r="362" spans="1:24" x14ac:dyDescent="0.2">
      <c r="A362" s="95" t="s">
        <v>256</v>
      </c>
      <c r="B362" s="79" t="s">
        <v>690</v>
      </c>
      <c r="C362" s="126" t="s">
        <v>283</v>
      </c>
      <c r="D362" s="125">
        <f>M362+O362+(K362*N362)+IF(OR(LEFT(A362)="G",LEFT(A362)="S"),Stats!$E$3-15+Bonuses!$BO$3,IF(OR(LEFT(A362)="Q",LEFT(A362)="R"),Bonuses!$BQ$3,Bonuses!$BP$3))</f>
        <v>22</v>
      </c>
      <c r="E362" s="125">
        <f t="shared" si="32"/>
        <v>3.3</v>
      </c>
      <c r="F362" s="125">
        <f t="shared" si="33"/>
        <v>1.1000000000000001</v>
      </c>
      <c r="G362" s="84" t="str">
        <f>10*(6+K362)&amp;" Feet"</f>
        <v>50 Feet</v>
      </c>
      <c r="H362" s="85" t="s">
        <v>240</v>
      </c>
      <c r="I362" s="94" t="str">
        <f>5+5*CEILING(K362/5,1)&amp;"' rad. blast D+"&amp;K362&amp;" Dam. Res 1/2"</f>
        <v>5' rad. blast D+-1 Dam. Res 1/2</v>
      </c>
      <c r="J362" s="394">
        <v>550</v>
      </c>
      <c r="K362" s="80">
        <f>IF(ISERROR(C362*1),-1,C362+IF(LEFT(A362)="T",Bonuses!$BR$3,IF(LEFT(A362)="G",Bonuses!$BS$3,IF(LEFT(A362)="Q",Bonuses!$BT$3,IF(LEFT(A362)="S",Bonuses!$BU$3,IF(LEFT(A362)="R",Bonuses!$BV$3,0))))))+P362</f>
        <v>-1</v>
      </c>
      <c r="L362" s="80">
        <v>1</v>
      </c>
      <c r="M362" s="75">
        <v>25</v>
      </c>
      <c r="N362" s="75">
        <v>3</v>
      </c>
      <c r="O362" s="380"/>
      <c r="P362" s="380"/>
      <c r="R362" s="83">
        <v>10000</v>
      </c>
    </row>
    <row r="363" spans="1:24" x14ac:dyDescent="0.2">
      <c r="A363" s="95" t="s">
        <v>257</v>
      </c>
      <c r="B363" s="79" t="s">
        <v>691</v>
      </c>
      <c r="C363" s="126" t="s">
        <v>283</v>
      </c>
      <c r="D363" s="125">
        <f>M363+O363+(K363*N363)+IF(OR(LEFT(A363)="G",LEFT(A363)="S"),Stats!$E$3-15+Bonuses!$BO$3,IF(OR(LEFT(A363)="Q",LEFT(A363)="R"),Bonuses!$BQ$3,Bonuses!$BP$3))</f>
        <v>22</v>
      </c>
      <c r="E363" s="125">
        <f t="shared" si="32"/>
        <v>3.3</v>
      </c>
      <c r="F363" s="125">
        <f t="shared" si="33"/>
        <v>1.1000000000000001</v>
      </c>
      <c r="G363" s="84" t="s">
        <v>679</v>
      </c>
      <c r="H363" s="85" t="str">
        <f>1*(1+K363)&amp;" Hours"</f>
        <v>0 Hours</v>
      </c>
      <c r="I363" s="94" t="str">
        <f>4*(1+K363)&amp;" Prot from Cold and Ice Damage"</f>
        <v>0 Prot from Cold and Ice Damage</v>
      </c>
      <c r="J363" s="394">
        <v>200</v>
      </c>
      <c r="K363" s="80">
        <f>IF(ISERROR(C363*1),-1,C363+IF(LEFT(A363)="T",Bonuses!$BR$3,IF(LEFT(A363)="G",Bonuses!$BS$3,IF(LEFT(A363)="Q",Bonuses!$BT$3,IF(LEFT(A363)="S",Bonuses!$BU$3,IF(LEFT(A363)="R",Bonuses!$BV$3,0))))))+P363</f>
        <v>-1</v>
      </c>
      <c r="L363" s="80">
        <v>1</v>
      </c>
      <c r="M363" s="75">
        <v>25</v>
      </c>
      <c r="N363" s="75">
        <v>3</v>
      </c>
      <c r="O363" s="380"/>
      <c r="P363" s="380"/>
      <c r="R363" s="83">
        <v>5000</v>
      </c>
    </row>
    <row r="364" spans="1:24" x14ac:dyDescent="0.2">
      <c r="A364" s="95" t="s">
        <v>258</v>
      </c>
      <c r="B364" s="79" t="s">
        <v>692</v>
      </c>
      <c r="C364" s="126" t="s">
        <v>283</v>
      </c>
      <c r="D364" s="125">
        <f>M364+O364+(K364*N364)+IF(OR(LEFT(A364)="G",LEFT(A364)="S"),Stats!$E$3-15+Bonuses!$BO$3,IF(OR(LEFT(A364)="Q",LEFT(A364)="R"),Bonuses!$BQ$3,Bonuses!$BP$3))</f>
        <v>2</v>
      </c>
      <c r="E364" s="125">
        <f t="shared" si="32"/>
        <v>0.3</v>
      </c>
      <c r="F364" s="125">
        <f t="shared" si="33"/>
        <v>0.1</v>
      </c>
      <c r="G364" s="84" t="str">
        <f>5*(2+K364)&amp;" Feet"</f>
        <v>5 Feet</v>
      </c>
      <c r="H364" s="85" t="s">
        <v>240</v>
      </c>
      <c r="I364" s="94" t="str">
        <f>1+CEILING(K364/3,1)&amp;" Ent. "&amp;-5-K364&amp;"%mr D+"&amp;K364*2&amp;" Dam. Res 1/2"</f>
        <v>1 Ent. -4%mr D+-2 Dam. Res 1/2</v>
      </c>
      <c r="J364" s="394">
        <v>650</v>
      </c>
      <c r="K364" s="80">
        <f>IF(ISERROR(C364*1),-1,C364+IF(LEFT(A364)="T",Bonuses!$BR$3,IF(LEFT(A364)="G",Bonuses!$BS$3,IF(LEFT(A364)="Q",Bonuses!$BT$3,IF(LEFT(A364)="S",Bonuses!$BU$3,IF(LEFT(A364)="R",Bonuses!$BV$3,0))))))+P364</f>
        <v>-1</v>
      </c>
      <c r="L364" s="80">
        <v>1</v>
      </c>
      <c r="M364" s="75">
        <v>5</v>
      </c>
      <c r="N364" s="75">
        <v>3</v>
      </c>
      <c r="O364" s="380"/>
      <c r="P364" s="380"/>
      <c r="R364" s="83">
        <v>35000</v>
      </c>
    </row>
    <row r="365" spans="1:24" x14ac:dyDescent="0.2">
      <c r="A365" s="95" t="s">
        <v>259</v>
      </c>
      <c r="B365" s="79" t="s">
        <v>693</v>
      </c>
      <c r="C365" s="126" t="s">
        <v>283</v>
      </c>
      <c r="D365" s="125">
        <f>M365+O365+(K365*N365)+IF(OR(LEFT(A365)="G",LEFT(A365)="S"),Stats!$E$3-15+Bonuses!$BO$3,IF(OR(LEFT(A365)="Q",LEFT(A365)="R"),Bonuses!$BQ$3,Bonuses!$BP$3))</f>
        <v>12</v>
      </c>
      <c r="E365" s="125">
        <f t="shared" si="32"/>
        <v>1.7999999999999998</v>
      </c>
      <c r="F365" s="125">
        <f t="shared" si="33"/>
        <v>0.60000000000000009</v>
      </c>
      <c r="G365" s="84" t="str">
        <f>IF(K365&lt;11,"Self","Touch")</f>
        <v>Self</v>
      </c>
      <c r="H365" s="85" t="str">
        <f>1/2*(1+K365)&amp;" Hours"</f>
        <v>0 Hours</v>
      </c>
      <c r="I365" s="94" t="str">
        <f>2+ROUND(3/2*K365,0)&amp;"%Def Adj: "&amp;ROUND(K365/2,0)&amp;" dm res 0."</f>
        <v>0%Def Adj: -1 dm res 0.</v>
      </c>
      <c r="J365" s="394">
        <v>200</v>
      </c>
      <c r="K365" s="80">
        <f>IF(ISERROR(C365*1),-1,C365+IF(LEFT(A365)="T",Bonuses!$BR$3,IF(LEFT(A365)="G",Bonuses!$BS$3,IF(LEFT(A365)="Q",Bonuses!$BT$3,IF(LEFT(A365)="S",Bonuses!$BU$3,IF(LEFT(A365)="R",Bonuses!$BV$3,0))))))+P365</f>
        <v>-1</v>
      </c>
      <c r="L365" s="80">
        <v>1</v>
      </c>
      <c r="M365" s="75">
        <v>15</v>
      </c>
      <c r="N365" s="75">
        <v>3</v>
      </c>
      <c r="O365" s="380"/>
      <c r="P365" s="380"/>
      <c r="R365" s="83">
        <v>5000</v>
      </c>
    </row>
    <row r="366" spans="1:24" x14ac:dyDescent="0.2">
      <c r="A366" s="95" t="s">
        <v>260</v>
      </c>
      <c r="B366" s="79" t="s">
        <v>694</v>
      </c>
      <c r="C366" s="126" t="s">
        <v>283</v>
      </c>
      <c r="D366" s="125">
        <f>M366+O366+(K366*N366)+IF(OR(LEFT(A366)="G",LEFT(A366)="S"),Stats!$E$3-15+Bonuses!$BO$3,IF(OR(LEFT(A366)="Q",LEFT(A366)="R"),Bonuses!$BQ$3,Bonuses!$BP$3))</f>
        <v>2</v>
      </c>
      <c r="E366" s="125">
        <f t="shared" si="32"/>
        <v>0.3</v>
      </c>
      <c r="F366" s="125">
        <f t="shared" si="33"/>
        <v>0.1</v>
      </c>
      <c r="G366" s="84" t="str">
        <f>10*(1+K366)&amp;" Feet"</f>
        <v>0 Feet</v>
      </c>
      <c r="H366" s="85" t="s">
        <v>240</v>
      </c>
      <c r="I366" s="94" t="str">
        <f>"D+"&amp;K366*2&amp;" dam "&amp;IF(K366&gt;=5,"D-4+"&amp;ROUND(K366/5,0)&amp;" StatDam","")&amp;" res 0"</f>
        <v>D+-2 dam  res 0</v>
      </c>
      <c r="J366" s="394">
        <v>550</v>
      </c>
      <c r="K366" s="80">
        <f>IF(ISERROR(C366*1),-1,C366+IF(LEFT(A366)="T",Bonuses!$BR$3,IF(LEFT(A366)="G",Bonuses!$BS$3,IF(LEFT(A366)="Q",Bonuses!$BT$3,IF(LEFT(A366)="S",Bonuses!$BU$3,IF(LEFT(A366)="R",Bonuses!$BV$3,0))))))+P366</f>
        <v>-1</v>
      </c>
      <c r="L366" s="80">
        <v>1</v>
      </c>
      <c r="M366" s="75">
        <v>5</v>
      </c>
      <c r="N366" s="75">
        <v>3</v>
      </c>
      <c r="O366" s="380"/>
      <c r="P366" s="380"/>
      <c r="R366" s="83">
        <v>10000</v>
      </c>
    </row>
    <row r="367" spans="1:24" x14ac:dyDescent="0.2">
      <c r="A367" s="95" t="s">
        <v>261</v>
      </c>
      <c r="B367" s="79" t="s">
        <v>695</v>
      </c>
      <c r="C367" s="126" t="s">
        <v>283</v>
      </c>
      <c r="D367" s="125">
        <f>M367+O367+(K367*N367)+IF(OR(LEFT(A367)="G",LEFT(A367)="S"),Stats!$E$3-15+Bonuses!$BO$3,IF(OR(LEFT(A367)="Q",LEFT(A367)="R"),Bonuses!$BQ$3,Bonuses!$BP$3))</f>
        <v>17</v>
      </c>
      <c r="E367" s="125">
        <f t="shared" si="32"/>
        <v>2.5499999999999998</v>
      </c>
      <c r="F367" s="125">
        <f t="shared" si="33"/>
        <v>0.85000000000000009</v>
      </c>
      <c r="G367" s="84" t="str">
        <f>10*(6+K367)&amp;" Feet"</f>
        <v>50 Feet</v>
      </c>
      <c r="H367" s="85" t="s">
        <v>240</v>
      </c>
      <c r="J367" s="394">
        <v>200</v>
      </c>
      <c r="K367" s="80">
        <f>IF(ISERROR(C367*1),-1,C367+IF(LEFT(A367)="T",Bonuses!$BR$3,IF(LEFT(A367)="G",Bonuses!$BS$3,IF(LEFT(A367)="Q",Bonuses!$BT$3,IF(LEFT(A367)="S",Bonuses!$BU$3,IF(LEFT(A367)="R",Bonuses!$BV$3,0))))))+P367</f>
        <v>-1</v>
      </c>
      <c r="L367" s="80">
        <v>1</v>
      </c>
      <c r="M367" s="75">
        <v>20</v>
      </c>
      <c r="N367" s="75">
        <v>3</v>
      </c>
      <c r="O367" s="380"/>
      <c r="P367" s="380"/>
      <c r="R367" s="83">
        <v>5000</v>
      </c>
    </row>
    <row r="368" spans="1:24" x14ac:dyDescent="0.2">
      <c r="A368" s="95" t="s">
        <v>262</v>
      </c>
      <c r="B368" s="79" t="s">
        <v>696</v>
      </c>
      <c r="C368" s="126" t="s">
        <v>283</v>
      </c>
      <c r="D368" s="125">
        <f>M368+O368+(K368*N368)+IF(OR(LEFT(A368)="G",LEFT(A368)="S"),Stats!$E$3-15+Bonuses!$BO$3,IF(OR(LEFT(A368)="Q",LEFT(A368)="R"),Bonuses!$BQ$3,Bonuses!$BP$3))</f>
        <v>37</v>
      </c>
      <c r="E368" s="125">
        <f t="shared" si="32"/>
        <v>5.55</v>
      </c>
      <c r="F368" s="125">
        <f t="shared" si="33"/>
        <v>1.85</v>
      </c>
      <c r="G368" s="84" t="str">
        <f>15*(1+K368)&amp;" Feet"</f>
        <v>0 Feet</v>
      </c>
      <c r="H368" s="85" t="str">
        <f>10*(2+K368)&amp;" Mins"</f>
        <v>10 Mins</v>
      </c>
      <c r="J368" s="394">
        <v>75</v>
      </c>
      <c r="K368" s="80">
        <f>IF(ISERROR(C368*1),-1,C368+IF(LEFT(A368)="T",Bonuses!$BR$3,IF(LEFT(A368)="G",Bonuses!$BS$3,IF(LEFT(A368)="Q",Bonuses!$BT$3,IF(LEFT(A368)="S",Bonuses!$BU$3,IF(LEFT(A368)="R",Bonuses!$BV$3,0))))))+P368</f>
        <v>-1</v>
      </c>
      <c r="L368" s="80">
        <v>1</v>
      </c>
      <c r="M368" s="75">
        <v>40</v>
      </c>
      <c r="N368" s="75">
        <v>3</v>
      </c>
      <c r="O368" s="380"/>
      <c r="P368" s="380"/>
      <c r="R368" s="83">
        <v>500</v>
      </c>
    </row>
    <row r="369" spans="1:24" x14ac:dyDescent="0.2">
      <c r="A369" s="95" t="s">
        <v>263</v>
      </c>
      <c r="B369" s="79" t="s">
        <v>697</v>
      </c>
      <c r="C369" s="126" t="s">
        <v>283</v>
      </c>
      <c r="D369" s="125">
        <f>M369+O369+(K369*N369)+IF(OR(LEFT(A369)="G",LEFT(A369)="S"),Stats!$E$3-15+Bonuses!$BO$3,IF(OR(LEFT(A369)="Q",LEFT(A369)="R"),Bonuses!$BQ$3,Bonuses!$BP$3))</f>
        <v>12</v>
      </c>
      <c r="E369" s="125">
        <f t="shared" si="32"/>
        <v>1.7999999999999998</v>
      </c>
      <c r="F369" s="125">
        <f t="shared" si="33"/>
        <v>0.60000000000000009</v>
      </c>
      <c r="G369" s="84"/>
      <c r="H369" s="85" t="s">
        <v>698</v>
      </c>
      <c r="J369" s="394">
        <v>200</v>
      </c>
      <c r="K369" s="80">
        <f>IF(ISERROR(C369*1),-1,C369+IF(LEFT(A369)="T",Bonuses!$BR$3,IF(LEFT(A369)="G",Bonuses!$BS$3,IF(LEFT(A369)="Q",Bonuses!$BT$3,IF(LEFT(A369)="S",Bonuses!$BU$3,IF(LEFT(A369)="R",Bonuses!$BV$3,0))))))+P369</f>
        <v>-1</v>
      </c>
      <c r="L369" s="80">
        <v>1</v>
      </c>
      <c r="M369" s="75">
        <v>15</v>
      </c>
      <c r="N369" s="75">
        <v>3</v>
      </c>
      <c r="O369" s="380"/>
      <c r="P369" s="380"/>
    </row>
    <row r="370" spans="1:24" x14ac:dyDescent="0.2">
      <c r="A370" s="95" t="s">
        <v>264</v>
      </c>
      <c r="B370" s="79" t="s">
        <v>699</v>
      </c>
      <c r="C370" s="126" t="s">
        <v>283</v>
      </c>
      <c r="D370" s="125">
        <f>M370+O370+(K370*N370)+IF(OR(LEFT(A370)="G",LEFT(A370)="S"),Stats!$E$3-15+Bonuses!$BO$3,IF(OR(LEFT(A370)="Q",LEFT(A370)="R"),Bonuses!$BQ$3,Bonuses!$BP$3))</f>
        <v>27</v>
      </c>
      <c r="E370" s="125">
        <f t="shared" si="32"/>
        <v>4.05</v>
      </c>
      <c r="F370" s="125">
        <f t="shared" si="33"/>
        <v>1.35</v>
      </c>
      <c r="G370" s="84" t="s">
        <v>679</v>
      </c>
      <c r="H370" s="85" t="str">
        <f>1*(5+K370)&amp;" Mins"</f>
        <v>4 Mins</v>
      </c>
      <c r="I370" s="94" t="str">
        <f>"+"&amp;1+K370&amp;"% SC. +"&amp;ROUND(K370/2,0)&amp;" dam. +"&amp;K370&amp;" vs Cold/Water/Undead"</f>
        <v>+0% SC. +-1 dam. +-1 vs Cold/Water/Undead</v>
      </c>
      <c r="J370" s="394">
        <v>250</v>
      </c>
      <c r="K370" s="80">
        <f>IF(ISERROR(C370*1),-1,C370+IF(LEFT(A370)="T",Bonuses!$BR$3,IF(LEFT(A370)="G",Bonuses!$BS$3,IF(LEFT(A370)="Q",Bonuses!$BT$3,IF(LEFT(A370)="S",Bonuses!$BU$3,IF(LEFT(A370)="R",Bonuses!$BV$3,0))))))+P370</f>
        <v>-1</v>
      </c>
      <c r="L370" s="80">
        <v>1</v>
      </c>
      <c r="M370" s="75">
        <v>30</v>
      </c>
      <c r="N370" s="75">
        <v>3</v>
      </c>
      <c r="O370" s="380"/>
      <c r="P370" s="380"/>
      <c r="R370" s="83">
        <v>2500</v>
      </c>
    </row>
    <row r="371" spans="1:24" x14ac:dyDescent="0.2">
      <c r="A371" s="95" t="s">
        <v>700</v>
      </c>
      <c r="B371" s="79" t="s">
        <v>701</v>
      </c>
      <c r="C371" s="126" t="s">
        <v>283</v>
      </c>
      <c r="D371" s="125">
        <f>M371+O371+(K371*N371)+IF(OR(LEFT(A371)="G",LEFT(A371)="S"),Stats!$E$3-15+Bonuses!$BO$3,IF(OR(LEFT(A371)="Q",LEFT(A371)="R"),Bonuses!$BQ$3,Bonuses!$BP$3))</f>
        <v>22</v>
      </c>
      <c r="E371" s="125">
        <f t="shared" si="32"/>
        <v>3.3</v>
      </c>
      <c r="F371" s="125">
        <f t="shared" si="33"/>
        <v>1.1000000000000001</v>
      </c>
      <c r="G371" s="84" t="str">
        <f>10*(1+K371)&amp;" Feet"</f>
        <v>0 Feet</v>
      </c>
      <c r="H371" s="85" t="str">
        <f>10*(1+K371)&amp;" Mins"</f>
        <v>0 Mins</v>
      </c>
      <c r="I371" s="94" t="str">
        <f>"5.20Wl;5h.5rRg;15h.2rPr +"&amp;K371&amp;" D+"&amp;K371&amp;" r.1/2"</f>
        <v>5.20Wl;5h.5rRg;15h.2rPr +-1 D+-1 r.1/2</v>
      </c>
      <c r="J371" s="394">
        <v>250</v>
      </c>
      <c r="K371" s="80">
        <f>IF(ISERROR(C371*1),-1,C371+IF(LEFT(A371)="T",Bonuses!$BR$3,IF(LEFT(A371)="G",Bonuses!$BS$3,IF(LEFT(A371)="Q",Bonuses!$BT$3,IF(LEFT(A371)="S",Bonuses!$BU$3,IF(LEFT(A371)="R",Bonuses!$BV$3,0))))))+P371</f>
        <v>-1</v>
      </c>
      <c r="L371" s="80">
        <v>1</v>
      </c>
      <c r="M371" s="75">
        <v>25</v>
      </c>
      <c r="N371" s="75">
        <v>3</v>
      </c>
      <c r="O371" s="380"/>
      <c r="P371" s="380"/>
      <c r="R371" s="83">
        <v>3000</v>
      </c>
    </row>
    <row r="372" spans="1:24" x14ac:dyDescent="0.2">
      <c r="A372" s="95" t="s">
        <v>702</v>
      </c>
      <c r="B372" s="79" t="s">
        <v>703</v>
      </c>
      <c r="C372" s="126" t="s">
        <v>283</v>
      </c>
      <c r="D372" s="125">
        <f>M372+O372+(K372*N372)+IF(OR(LEFT(A372)="G",LEFT(A372)="S"),Stats!$E$3-15+Bonuses!$BO$3,IF(OR(LEFT(A372)="Q",LEFT(A372)="R"),Bonuses!$BQ$3,Bonuses!$BP$3))</f>
        <v>22</v>
      </c>
      <c r="E372" s="125">
        <f t="shared" si="32"/>
        <v>3.3</v>
      </c>
      <c r="F372" s="125">
        <f t="shared" si="33"/>
        <v>1.1000000000000001</v>
      </c>
      <c r="G372" s="84" t="s">
        <v>679</v>
      </c>
      <c r="H372" s="85" t="str">
        <f>20*(1+K372)&amp;" Mins"</f>
        <v>0 Mins</v>
      </c>
      <c r="I372" s="94" t="str">
        <f>"Run at "&amp;20+2*K372&amp;" mph. Leap PS+"&amp;K372&amp;"'h PS/2+"&amp;K372&amp;"'v"</f>
        <v>Run at 18 mph. Leap PS+-1'h PS/2+-1'v</v>
      </c>
      <c r="J372" s="394">
        <v>250</v>
      </c>
      <c r="K372" s="80">
        <f>IF(ISERROR(C372*1),-1,C372+IF(LEFT(A372)="T",Bonuses!$BR$3,IF(LEFT(A372)="G",Bonuses!$BS$3,IF(LEFT(A372)="Q",Bonuses!$BT$3,IF(LEFT(A372)="S",Bonuses!$BU$3,IF(LEFT(A372)="R",Bonuses!$BV$3,0))))))+P372</f>
        <v>-1</v>
      </c>
      <c r="L372" s="80">
        <v>1</v>
      </c>
      <c r="M372" s="75">
        <v>25</v>
      </c>
      <c r="N372" s="75">
        <v>3</v>
      </c>
      <c r="O372" s="380"/>
      <c r="P372" s="380"/>
      <c r="R372" s="83">
        <v>5000</v>
      </c>
    </row>
    <row r="373" spans="1:24" x14ac:dyDescent="0.2">
      <c r="A373" s="95" t="s">
        <v>625</v>
      </c>
      <c r="B373" s="79" t="s">
        <v>704</v>
      </c>
      <c r="C373" s="126" t="s">
        <v>283</v>
      </c>
      <c r="D373" s="125">
        <f>M373+O373+(K373*N373)+IF(OR(LEFT(A373)="G",LEFT(A373)="S"),Stats!$E$3-15+Bonuses!$BO$3,IF(OR(LEFT(A373)="Q",LEFT(A373)="R"),Bonuses!$BQ$3,Bonuses!$BP$3))</f>
        <v>27</v>
      </c>
      <c r="E373" s="125">
        <f t="shared" si="32"/>
        <v>4.05</v>
      </c>
      <c r="F373" s="125">
        <f t="shared" si="33"/>
        <v>1.35</v>
      </c>
      <c r="G373" s="84" t="str">
        <f>2*(1+K373)&amp;" Miles"</f>
        <v>0 Miles</v>
      </c>
      <c r="H373" s="85" t="str">
        <f>8*(1+K373)&amp;" Hours"</f>
        <v>0 Hours</v>
      </c>
      <c r="I373" s="94" t="str">
        <f>"Increase temp by "&amp;2*K373&amp;" C. at 2 deg per hr."</f>
        <v>Increase temp by -2 C. at 2 deg per hr.</v>
      </c>
      <c r="J373" s="394">
        <v>200</v>
      </c>
      <c r="K373" s="80">
        <f>IF(ISERROR(C373*1),-1,C373+IF(LEFT(A373)="T",Bonuses!$BR$3,IF(LEFT(A373)="G",Bonuses!$BS$3,IF(LEFT(A373)="Q",Bonuses!$BT$3,IF(LEFT(A373)="S",Bonuses!$BU$3,IF(LEFT(A373)="R",Bonuses!$BV$3,0))))))+P373</f>
        <v>-1</v>
      </c>
      <c r="L373" s="80">
        <v>7</v>
      </c>
      <c r="M373" s="75">
        <v>30</v>
      </c>
      <c r="N373" s="75">
        <v>3</v>
      </c>
      <c r="O373" s="380"/>
      <c r="P373" s="380"/>
    </row>
    <row r="374" spans="1:24" x14ac:dyDescent="0.2">
      <c r="A374" s="95" t="s">
        <v>627</v>
      </c>
      <c r="B374" s="79" t="s">
        <v>705</v>
      </c>
      <c r="C374" s="126" t="s">
        <v>283</v>
      </c>
      <c r="D374" s="125">
        <f>M374+O374+(K374*N374)+IF(OR(LEFT(A374)="G",LEFT(A374)="S"),Stats!$E$3-15+Bonuses!$BO$3,IF(OR(LEFT(A374)="Q",LEFT(A374)="R"),Bonuses!$BQ$3,Bonuses!$BP$3))</f>
        <v>35</v>
      </c>
      <c r="E374" s="125">
        <f t="shared" si="32"/>
        <v>5.25</v>
      </c>
      <c r="F374" s="125">
        <f t="shared" si="33"/>
        <v>1.75</v>
      </c>
      <c r="G374" s="84" t="s">
        <v>638</v>
      </c>
      <c r="H374" s="85" t="str">
        <f>1*(1+K374)&amp;" Mins"</f>
        <v>0 Mins</v>
      </c>
      <c r="J374" s="394">
        <v>250</v>
      </c>
      <c r="K374" s="80">
        <f>IF(ISERROR(C374*1),-1,C374+IF(LEFT(A374)="T",Bonuses!$BR$3,IF(LEFT(A374)="G",Bonuses!$BS$3,IF(LEFT(A374)="Q",Bonuses!$BT$3,IF(LEFT(A374)="S",Bonuses!$BU$3,IF(LEFT(A374)="R",Bonuses!$BV$3,0))))))+P374</f>
        <v>-1</v>
      </c>
      <c r="L374" s="80">
        <v>7</v>
      </c>
      <c r="M374" s="75">
        <v>40</v>
      </c>
      <c r="N374" s="75">
        <v>5</v>
      </c>
      <c r="O374" s="380"/>
      <c r="P374" s="380"/>
      <c r="R374" s="83">
        <v>5000</v>
      </c>
    </row>
    <row r="375" spans="1:24" x14ac:dyDescent="0.2">
      <c r="A375" s="95" t="s">
        <v>629</v>
      </c>
      <c r="B375" s="79" t="s">
        <v>706</v>
      </c>
      <c r="C375" s="126" t="s">
        <v>283</v>
      </c>
      <c r="D375" s="125">
        <f>M375+O375+(K375*N375)+IF(OR(LEFT(A375)="G",LEFT(A375)="S"),Stats!$E$3-15+Bonuses!$BO$3,IF(OR(LEFT(A375)="Q",LEFT(A375)="R"),Bonuses!$BQ$3,Bonuses!$BP$3))</f>
        <v>27</v>
      </c>
      <c r="E375" s="125">
        <f t="shared" si="32"/>
        <v>4.05</v>
      </c>
      <c r="F375" s="125">
        <f t="shared" si="33"/>
        <v>1.35</v>
      </c>
      <c r="G375" s="84" t="s">
        <v>638</v>
      </c>
      <c r="H375" s="85" t="str">
        <f>1*(1+K375)&amp;" Hours"</f>
        <v>0 Hours</v>
      </c>
      <c r="J375" s="394">
        <v>200</v>
      </c>
      <c r="K375" s="80">
        <f>IF(ISERROR(C375*1),-1,C375+IF(LEFT(A375)="T",Bonuses!$BR$3,IF(LEFT(A375)="G",Bonuses!$BS$3,IF(LEFT(A375)="Q",Bonuses!$BT$3,IF(LEFT(A375)="S",Bonuses!$BU$3,IF(LEFT(A375)="R",Bonuses!$BV$3,0))))))+P375</f>
        <v>-1</v>
      </c>
      <c r="L375" s="80">
        <v>7</v>
      </c>
      <c r="M375" s="75">
        <v>30</v>
      </c>
      <c r="N375" s="75">
        <v>3</v>
      </c>
      <c r="O375" s="380"/>
      <c r="P375" s="380"/>
      <c r="R375" s="83">
        <v>60000</v>
      </c>
    </row>
    <row r="376" spans="1:24" x14ac:dyDescent="0.2">
      <c r="A376" s="95" t="s">
        <v>632</v>
      </c>
      <c r="B376" s="79" t="s">
        <v>707</v>
      </c>
      <c r="C376" s="126" t="s">
        <v>283</v>
      </c>
      <c r="D376" s="125">
        <f>M376+O376+(K376*N376)+IF(OR(LEFT(A376)="G",LEFT(A376)="S"),Stats!$E$3-15+Bonuses!$BO$3,IF(OR(LEFT(A376)="Q",LEFT(A376)="R"),Bonuses!$BQ$3,Bonuses!$BP$3))</f>
        <v>11</v>
      </c>
      <c r="E376" s="125">
        <f t="shared" si="32"/>
        <v>1.65</v>
      </c>
      <c r="F376" s="125">
        <f t="shared" si="33"/>
        <v>0.55000000000000004</v>
      </c>
      <c r="G376" s="84" t="s">
        <v>708</v>
      </c>
      <c r="H376" s="85" t="s">
        <v>244</v>
      </c>
      <c r="I376" s="94" t="str">
        <f>15+(K376*5)&amp;" EN &amp; FT."</f>
        <v>10 EN &amp; FT.</v>
      </c>
      <c r="J376" s="394">
        <v>450</v>
      </c>
      <c r="K376" s="80">
        <f>IF(ISERROR(C376*1),-1,C376+IF(LEFT(A376)="T",Bonuses!$BR$3,IF(LEFT(A376)="G",Bonuses!$BS$3,IF(LEFT(A376)="Q",Bonuses!$BT$3,IF(LEFT(A376)="S",Bonuses!$BU$3,IF(LEFT(A376)="R",Bonuses!$BV$3,0))))))+P376</f>
        <v>-1</v>
      </c>
      <c r="L376" s="80">
        <v>7</v>
      </c>
      <c r="M376" s="75">
        <f>Stats!$E$3</f>
        <v>15</v>
      </c>
      <c r="N376" s="75">
        <v>4</v>
      </c>
      <c r="O376" s="380"/>
      <c r="P376" s="380"/>
      <c r="R376" s="83">
        <v>30000</v>
      </c>
    </row>
    <row r="378" spans="1:24" ht="15" customHeight="1" x14ac:dyDescent="0.2">
      <c r="A378" s="73"/>
      <c r="B378" s="73" t="s">
        <v>1100</v>
      </c>
      <c r="C378" s="74" t="s">
        <v>149</v>
      </c>
      <c r="D378" s="97" t="s">
        <v>231</v>
      </c>
      <c r="E378" s="97" t="s">
        <v>265</v>
      </c>
      <c r="F378" s="97" t="s">
        <v>266</v>
      </c>
      <c r="G378" s="74" t="s">
        <v>2</v>
      </c>
      <c r="H378" s="74" t="s">
        <v>232</v>
      </c>
      <c r="I378" s="74" t="s">
        <v>234</v>
      </c>
      <c r="J378" s="393" t="s">
        <v>233</v>
      </c>
      <c r="K378" s="75" t="s">
        <v>149</v>
      </c>
      <c r="L378" s="75" t="s">
        <v>235</v>
      </c>
      <c r="M378" s="75" t="s">
        <v>236</v>
      </c>
      <c r="N378" s="76" t="s">
        <v>269</v>
      </c>
      <c r="O378" s="3" t="s">
        <v>169</v>
      </c>
      <c r="P378" s="3" t="s">
        <v>171</v>
      </c>
      <c r="Q378" s="77" t="s">
        <v>237</v>
      </c>
      <c r="R378" s="78" t="s">
        <v>238</v>
      </c>
      <c r="T378" s="2" t="s">
        <v>1374</v>
      </c>
      <c r="U378" s="2" t="s">
        <v>1375</v>
      </c>
      <c r="V378" s="2" t="s">
        <v>1376</v>
      </c>
      <c r="W378" s="8" t="s">
        <v>1377</v>
      </c>
      <c r="X378" s="8" t="s">
        <v>1378</v>
      </c>
    </row>
    <row r="379" spans="1:24" ht="12.75" x14ac:dyDescent="0.2">
      <c r="A379" s="95" t="s">
        <v>239</v>
      </c>
      <c r="B379" s="79" t="s">
        <v>709</v>
      </c>
      <c r="C379" s="126">
        <v>0</v>
      </c>
      <c r="D379" s="125"/>
      <c r="E379" s="125">
        <f t="shared" ref="E379:E413" si="34">D379*0.15</f>
        <v>0</v>
      </c>
      <c r="F379" s="125">
        <f t="shared" ref="F379:F413" si="35">D379*0.05</f>
        <v>0</v>
      </c>
      <c r="I379" s="94" t="str">
        <f>"+"&amp;1+TRUNC(K379/4,0)&amp;" Temp Gauge "&amp;-1-ROUND(K379/4,0)&amp;" Cold Dmg."</f>
        <v>+1 Temp Gauge -1 Cold Dmg.</v>
      </c>
      <c r="J379" s="394">
        <v>100</v>
      </c>
      <c r="K379" s="80">
        <f>IF(ISERROR(C379*1),-1,C379+IF(LEFT(A379)="T",Bonuses!$BR$3,IF(LEFT(A379)="G",Bonuses!$BS$3,IF(LEFT(A379)="Q",Bonuses!$BT$3,IF(LEFT(A379)="S",Bonuses!$BU$3,IF(LEFT(A379)="R",Bonuses!$BV$3,0))))))+P379</f>
        <v>0</v>
      </c>
      <c r="L379" s="80">
        <v>0</v>
      </c>
      <c r="O379" s="380"/>
      <c r="P379" s="380"/>
      <c r="T379" s="417">
        <v>10</v>
      </c>
      <c r="U379" s="417">
        <v>0</v>
      </c>
      <c r="V379" s="417" t="s">
        <v>1379</v>
      </c>
      <c r="W379" s="418" t="s">
        <v>1380</v>
      </c>
      <c r="X379" s="418" t="s">
        <v>1381</v>
      </c>
    </row>
    <row r="380" spans="1:24" ht="12.75" x14ac:dyDescent="0.2">
      <c r="A380" s="95" t="s">
        <v>611</v>
      </c>
      <c r="B380" s="79" t="s">
        <v>710</v>
      </c>
      <c r="C380" s="126">
        <v>0</v>
      </c>
      <c r="D380" s="125"/>
      <c r="E380" s="125">
        <f t="shared" si="34"/>
        <v>0</v>
      </c>
      <c r="F380" s="125">
        <f t="shared" si="35"/>
        <v>0</v>
      </c>
      <c r="G380" s="84"/>
      <c r="J380" s="394">
        <v>150</v>
      </c>
      <c r="K380" s="80">
        <f>IF(ISERROR(C380*1),-1,C380+IF(LEFT(A380)="T",Bonuses!$BR$3,IF(LEFT(A380)="G",Bonuses!$BS$3,IF(LEFT(A380)="Q",Bonuses!$BT$3,IF(LEFT(A380)="S",Bonuses!$BU$3,IF(LEFT(A380)="R",Bonuses!$BV$3,0))))))+P380</f>
        <v>0</v>
      </c>
      <c r="L380" s="80">
        <v>0</v>
      </c>
      <c r="O380" s="380"/>
      <c r="P380" s="380"/>
      <c r="T380" s="417">
        <v>10</v>
      </c>
      <c r="U380" s="417">
        <v>1</v>
      </c>
      <c r="V380" s="417">
        <v>-15</v>
      </c>
      <c r="W380" s="418" t="s">
        <v>1380</v>
      </c>
      <c r="X380" s="418" t="s">
        <v>1382</v>
      </c>
    </row>
    <row r="381" spans="1:24" ht="12.75" x14ac:dyDescent="0.2">
      <c r="A381" s="95" t="s">
        <v>241</v>
      </c>
      <c r="B381" s="79" t="s">
        <v>711</v>
      </c>
      <c r="C381" s="126">
        <v>0</v>
      </c>
      <c r="D381" s="125">
        <f>M381+O381+(K381*N381)+IF(OR(LEFT(A381)="G",LEFT(A381)="S"),Stats!$E$3-15+Bonuses!$BO$3,IF(OR(LEFT(A381)="Q",LEFT(A381)="R"),Bonuses!$BQ$3,Bonuses!$BP$3))</f>
        <v>50</v>
      </c>
      <c r="E381" s="125">
        <f t="shared" si="34"/>
        <v>7.5</v>
      </c>
      <c r="F381" s="125">
        <f t="shared" si="35"/>
        <v>2.5</v>
      </c>
      <c r="G381" s="84" t="str">
        <f>15*(1+K381)&amp;" Feet"</f>
        <v>15 Feet</v>
      </c>
      <c r="H381" s="85" t="s">
        <v>240</v>
      </c>
      <c r="I381" s="94" t="str">
        <f>"Ext. Fire in "&amp;10*(1+K381)&amp;"'r Sphere"</f>
        <v>Ext. Fire in 10'r Sphere</v>
      </c>
      <c r="J381" s="394">
        <v>100</v>
      </c>
      <c r="K381" s="80">
        <f>IF(ISERROR(C381*1),-1,C381+IF(LEFT(A381)="T",Bonuses!$BR$3,IF(LEFT(A381)="G",Bonuses!$BS$3,IF(LEFT(A381)="Q",Bonuses!$BT$3,IF(LEFT(A381)="S",Bonuses!$BU$3,IF(LEFT(A381)="R",Bonuses!$BV$3,0))))))+P381</f>
        <v>0</v>
      </c>
      <c r="L381" s="80">
        <v>1</v>
      </c>
      <c r="M381" s="75">
        <v>50</v>
      </c>
      <c r="N381" s="75">
        <v>3</v>
      </c>
      <c r="O381" s="380"/>
      <c r="P381" s="380"/>
      <c r="Q381" s="86">
        <f>MAX((MAX(Stats!$E$2,Ranking!$C$13)-15)*5,0)</f>
        <v>0</v>
      </c>
      <c r="R381" s="83">
        <v>300</v>
      </c>
      <c r="T381" s="417">
        <v>10</v>
      </c>
      <c r="U381" s="417">
        <v>2</v>
      </c>
      <c r="V381" s="417">
        <v>-10</v>
      </c>
      <c r="W381" s="418" t="s">
        <v>1380</v>
      </c>
      <c r="X381" s="418" t="s">
        <v>1383</v>
      </c>
    </row>
    <row r="382" spans="1:24" ht="12.75" x14ac:dyDescent="0.2">
      <c r="A382" s="95" t="s">
        <v>242</v>
      </c>
      <c r="B382" s="79" t="s">
        <v>712</v>
      </c>
      <c r="C382" s="126">
        <v>0</v>
      </c>
      <c r="D382" s="125">
        <f>M382+O382+(K382*N382)+IF(OR(LEFT(A382)="G",LEFT(A382)="S"),Stats!$E$3-15+Bonuses!$BO$3,IF(OR(LEFT(A382)="Q",LEFT(A382)="R"),Bonuses!$BQ$3,Bonuses!$BP$3))</f>
        <v>40</v>
      </c>
      <c r="E382" s="125">
        <f t="shared" si="34"/>
        <v>6</v>
      </c>
      <c r="F382" s="125">
        <f t="shared" si="35"/>
        <v>2</v>
      </c>
      <c r="G382" s="84" t="str">
        <f>5*(1+K382)&amp;" Feet"</f>
        <v>5 Feet</v>
      </c>
      <c r="H382" s="85" t="str">
        <f>1*(1+K382)&amp;" Days"</f>
        <v>1 Days</v>
      </c>
      <c r="I382" s="94" t="str">
        <f>"Freeze 1 object up to "&amp;5+5*K382&amp;"lbs"</f>
        <v>Freeze 1 object up to 5lbs</v>
      </c>
      <c r="J382" s="394">
        <v>50</v>
      </c>
      <c r="K382" s="80">
        <f>IF(ISERROR(C382*1),-1,C382+IF(LEFT(A382)="T",Bonuses!$BR$3,IF(LEFT(A382)="G",Bonuses!$BS$3,IF(LEFT(A382)="Q",Bonuses!$BT$3,IF(LEFT(A382)="S",Bonuses!$BU$3,IF(LEFT(A382)="R",Bonuses!$BV$3,0))))))+P382</f>
        <v>0</v>
      </c>
      <c r="L382" s="80">
        <v>1</v>
      </c>
      <c r="M382" s="75">
        <v>40</v>
      </c>
      <c r="N382" s="75">
        <v>3</v>
      </c>
      <c r="O382" s="380"/>
      <c r="P382" s="380"/>
      <c r="Q382" s="86">
        <f>MAX((MAX(Stats!$E$2,Ranking!$C$13)-15)*5,0)</f>
        <v>0</v>
      </c>
      <c r="R382" s="83">
        <v>300</v>
      </c>
      <c r="T382" s="417">
        <v>10</v>
      </c>
      <c r="U382" s="417">
        <v>3</v>
      </c>
      <c r="V382" s="417">
        <v>-5</v>
      </c>
      <c r="W382" s="418" t="s">
        <v>1384</v>
      </c>
      <c r="X382" s="418" t="s">
        <v>1385</v>
      </c>
    </row>
    <row r="383" spans="1:24" ht="12.75" x14ac:dyDescent="0.2">
      <c r="A383" s="95" t="s">
        <v>243</v>
      </c>
      <c r="B383" s="79" t="s">
        <v>713</v>
      </c>
      <c r="C383" s="126">
        <v>0</v>
      </c>
      <c r="D383" s="125">
        <f>M383+O383+(K383*N383)+IF(OR(LEFT(A383)="G",LEFT(A383)="S"),Stats!$E$3-15+Bonuses!$BO$3,IF(OR(LEFT(A383)="Q",LEFT(A383)="R"),Bonuses!$BQ$3,Bonuses!$BP$3))</f>
        <v>25</v>
      </c>
      <c r="E383" s="125">
        <f t="shared" si="34"/>
        <v>3.75</v>
      </c>
      <c r="F383" s="125">
        <f t="shared" si="35"/>
        <v>1.25</v>
      </c>
      <c r="G383" s="84" t="str">
        <f>15+(10*K383)&amp;" Feet"</f>
        <v>15 Feet</v>
      </c>
      <c r="H383" s="85" t="s">
        <v>240</v>
      </c>
      <c r="I383" s="565" t="str">
        <f>"1""x"&amp;1+K383&amp;"'x"&amp;1+K383&amp;"' square / "&amp;(1+K383)/2&amp;"' cube "&amp;TEXT(POWER((1+K383)/2,3)*47.2,"#,#")&amp;" lbs"</f>
        <v>1"x1'x1' square / 0.5' cube 6 lbs</v>
      </c>
      <c r="J383" s="394">
        <v>100</v>
      </c>
      <c r="K383" s="80">
        <f>IF(ISERROR(C383*1),-1,C383+IF(LEFT(A383)="T",Bonuses!$BR$3,IF(LEFT(A383)="G",Bonuses!$BS$3,IF(LEFT(A383)="Q",Bonuses!$BT$3,IF(LEFT(A383)="S",Bonuses!$BU$3,IF(LEFT(A383)="R",Bonuses!$BV$3,0))))))+P383</f>
        <v>0</v>
      </c>
      <c r="L383" s="80">
        <v>1</v>
      </c>
      <c r="M383" s="75">
        <v>25</v>
      </c>
      <c r="N383" s="75">
        <v>3</v>
      </c>
      <c r="O383" s="380"/>
      <c r="P383" s="380"/>
      <c r="Q383" s="86">
        <f>MAX((MAX(Stats!$E$2,Ranking!$C$13)-15)*5,0)</f>
        <v>0</v>
      </c>
      <c r="R383" s="83">
        <v>300</v>
      </c>
      <c r="T383" s="4">
        <v>5</v>
      </c>
      <c r="U383" s="4">
        <v>4</v>
      </c>
      <c r="V383" s="4">
        <v>0</v>
      </c>
      <c r="W383" s="5" t="s">
        <v>1386</v>
      </c>
      <c r="X383" s="5" t="s">
        <v>1387</v>
      </c>
    </row>
    <row r="384" spans="1:24" ht="12.75" x14ac:dyDescent="0.2">
      <c r="A384" s="95" t="s">
        <v>245</v>
      </c>
      <c r="B384" s="79" t="s">
        <v>714</v>
      </c>
      <c r="C384" s="126">
        <v>0</v>
      </c>
      <c r="D384" s="125">
        <f>M384+O384+(K384*N384)+IF(OR(LEFT(A384)="G",LEFT(A384)="S"),Stats!$E$3-15+Bonuses!$BO$3,IF(OR(LEFT(A384)="Q",LEFT(A384)="R"),Bonuses!$BQ$3,Bonuses!$BP$3))</f>
        <v>30</v>
      </c>
      <c r="E384" s="125">
        <f t="shared" si="34"/>
        <v>4.5</v>
      </c>
      <c r="F384" s="125">
        <f t="shared" si="35"/>
        <v>1.5</v>
      </c>
      <c r="G384" s="84" t="str">
        <f>10*(1+K384)&amp;" Feet"</f>
        <v>10 Feet</v>
      </c>
      <c r="H384" s="85" t="str">
        <f>20*(1+K384)&amp;" Mins"</f>
        <v>20 Mins</v>
      </c>
      <c r="I384" s="94" t="str">
        <f>1+TRUNC(K384/4,0)&amp;" Targets "&amp;1+TRUNC(K384/3,0)&amp;" TMR"</f>
        <v>1 Targets 1 TMR</v>
      </c>
      <c r="J384" s="394">
        <v>125</v>
      </c>
      <c r="K384" s="80">
        <f>IF(ISERROR(C384*1),-1,C384+IF(LEFT(A384)="T",Bonuses!$BR$3,IF(LEFT(A384)="G",Bonuses!$BS$3,IF(LEFT(A384)="Q",Bonuses!$BT$3,IF(LEFT(A384)="S",Bonuses!$BU$3,IF(LEFT(A384)="R",Bonuses!$BV$3,0))))))+P384</f>
        <v>0</v>
      </c>
      <c r="L384" s="80">
        <v>1</v>
      </c>
      <c r="M384" s="75">
        <v>30</v>
      </c>
      <c r="N384" s="75">
        <v>3</v>
      </c>
      <c r="O384" s="380"/>
      <c r="P384" s="380"/>
      <c r="Q384" s="86">
        <f>MAX((MAX(Stats!$E$2,Ranking!$C$13)-15)*5,0)</f>
        <v>0</v>
      </c>
      <c r="R384" s="83">
        <v>300</v>
      </c>
      <c r="T384" s="4">
        <v>5</v>
      </c>
      <c r="U384" s="4">
        <v>5</v>
      </c>
      <c r="V384" s="4">
        <v>5</v>
      </c>
      <c r="W384" s="5" t="s">
        <v>1386</v>
      </c>
      <c r="X384" s="5" t="s">
        <v>1388</v>
      </c>
    </row>
    <row r="385" spans="1:24" ht="12.75" x14ac:dyDescent="0.2">
      <c r="A385" s="95" t="s">
        <v>246</v>
      </c>
      <c r="B385" s="79" t="s">
        <v>715</v>
      </c>
      <c r="C385" s="126">
        <v>0</v>
      </c>
      <c r="D385" s="125">
        <f>M385+O385+(K385*N385)+IF(OR(LEFT(A385)="G",LEFT(A385)="S"),Stats!$E$3-15+Bonuses!$BO$3,IF(OR(LEFT(A385)="Q",LEFT(A385)="R"),Bonuses!$BQ$3,Bonuses!$BP$3))</f>
        <v>35</v>
      </c>
      <c r="E385" s="125">
        <f t="shared" si="34"/>
        <v>5.25</v>
      </c>
      <c r="F385" s="125">
        <f t="shared" si="35"/>
        <v>1.75</v>
      </c>
      <c r="G385" s="84" t="str">
        <f>5*(5+K385)&amp;" Feet"</f>
        <v>25 Feet</v>
      </c>
      <c r="H385" s="85" t="str">
        <f>1*(1+K385)&amp;" Hours"</f>
        <v>1 Hours</v>
      </c>
      <c r="I385" s="94" t="str">
        <f>"Lower temp by "&amp;MAX(2,2*K385)&amp;"c in 15' cube"</f>
        <v>Lower temp by 2c in 15' cube</v>
      </c>
      <c r="J385" s="394">
        <v>50</v>
      </c>
      <c r="K385" s="80">
        <f>IF(ISERROR(C385*1),-1,C385+IF(LEFT(A385)="T",Bonuses!$BR$3,IF(LEFT(A385)="G",Bonuses!$BS$3,IF(LEFT(A385)="Q",Bonuses!$BT$3,IF(LEFT(A385)="S",Bonuses!$BU$3,IF(LEFT(A385)="R",Bonuses!$BV$3,0))))))+P385</f>
        <v>0</v>
      </c>
      <c r="L385" s="80">
        <v>1</v>
      </c>
      <c r="M385" s="75">
        <v>35</v>
      </c>
      <c r="N385" s="75">
        <v>3</v>
      </c>
      <c r="O385" s="380"/>
      <c r="P385" s="380"/>
      <c r="Q385" s="86">
        <f>MAX((MAX(Stats!$E$2,Ranking!$C$13)-15)*5,0)</f>
        <v>0</v>
      </c>
      <c r="R385" s="83">
        <v>300</v>
      </c>
      <c r="T385" s="419">
        <v>0</v>
      </c>
      <c r="U385" s="419">
        <v>6</v>
      </c>
      <c r="V385" s="419">
        <v>10</v>
      </c>
      <c r="W385" s="420" t="s">
        <v>1389</v>
      </c>
      <c r="X385" s="420" t="s">
        <v>1390</v>
      </c>
    </row>
    <row r="386" spans="1:24" ht="12.75" x14ac:dyDescent="0.2">
      <c r="A386" s="95" t="s">
        <v>247</v>
      </c>
      <c r="B386" s="79" t="s">
        <v>716</v>
      </c>
      <c r="C386" s="126">
        <v>0</v>
      </c>
      <c r="D386" s="125">
        <f>M386+O386+(K386*N386)+IF(OR(LEFT(A386)="G",LEFT(A386)="S"),Stats!$E$3-15+Bonuses!$BO$3,IF(OR(LEFT(A386)="Q",LEFT(A386)="R"),Bonuses!$BQ$3,Bonuses!$BP$3))</f>
        <v>40</v>
      </c>
      <c r="E386" s="125">
        <f t="shared" si="34"/>
        <v>6</v>
      </c>
      <c r="F386" s="125">
        <f t="shared" si="35"/>
        <v>2</v>
      </c>
      <c r="G386" s="84" t="s">
        <v>679</v>
      </c>
      <c r="H386" s="85" t="str">
        <f>ROUND(1/2*(2+K386),1)&amp;" Hours"</f>
        <v>1 Hours</v>
      </c>
      <c r="I386" s="565" t="str">
        <f>"+"&amp;1+TRUNC(K386/4,0)&amp;" Temp Gauge  "&amp;-1-ROUNDUP(K386/4,0)&amp;" Cold Dmg."&amp;IF(K386&gt;10,"No Hypo.","")</f>
        <v>+1 Temp Gauge  -1 Cold Dmg.</v>
      </c>
      <c r="J386" s="394">
        <v>100</v>
      </c>
      <c r="K386" s="80">
        <f>IF(ISERROR(C386*1),-1,C386+IF(LEFT(A386)="T",Bonuses!$BR$3,IF(LEFT(A386)="G",Bonuses!$BS$3,IF(LEFT(A386)="Q",Bonuses!$BT$3,IF(LEFT(A386)="S",Bonuses!$BU$3,IF(LEFT(A386)="R",Bonuses!$BV$3,0))))))+P386</f>
        <v>0</v>
      </c>
      <c r="L386" s="80">
        <v>1</v>
      </c>
      <c r="M386" s="75">
        <v>40</v>
      </c>
      <c r="N386" s="75">
        <v>3</v>
      </c>
      <c r="O386" s="380"/>
      <c r="P386" s="380"/>
      <c r="Q386" s="86">
        <f>MAX((MAX(Stats!$E$2,Ranking!$C$13)-15)*5,0)</f>
        <v>0</v>
      </c>
      <c r="R386" s="83">
        <v>300</v>
      </c>
      <c r="T386" s="419">
        <v>0</v>
      </c>
      <c r="U386" s="419">
        <v>7</v>
      </c>
      <c r="V386" s="419">
        <v>15</v>
      </c>
      <c r="W386" s="420" t="s">
        <v>1389</v>
      </c>
      <c r="X386" s="420" t="s">
        <v>1391</v>
      </c>
    </row>
    <row r="387" spans="1:24" ht="12.75" x14ac:dyDescent="0.2">
      <c r="A387" s="95" t="s">
        <v>248</v>
      </c>
      <c r="B387" s="79" t="s">
        <v>717</v>
      </c>
      <c r="C387" s="126">
        <v>0</v>
      </c>
      <c r="D387" s="125">
        <f>M387+O387+(K387*N387)+IF(OR(LEFT(A387)="G",LEFT(A387)="S"),Stats!$E$3-15+Bonuses!$BO$3,IF(OR(LEFT(A387)="Q",LEFT(A387)="R"),Bonuses!$BQ$3,Bonuses!$BP$3))</f>
        <v>20</v>
      </c>
      <c r="E387" s="125">
        <f t="shared" si="34"/>
        <v>3</v>
      </c>
      <c r="F387" s="125">
        <f t="shared" si="35"/>
        <v>1</v>
      </c>
      <c r="G387" s="84" t="s">
        <v>616</v>
      </c>
      <c r="H387" s="85" t="str">
        <f>15*(1+K387)&amp;" Mins C."</f>
        <v>15 Mins C.</v>
      </c>
      <c r="I387" s="94" t="str">
        <f>"Clear "&amp;1+TRUNC(K387/2,0)&amp;" hexes per pulse"</f>
        <v>Clear 1 hexes per pulse</v>
      </c>
      <c r="J387" s="394">
        <v>125</v>
      </c>
      <c r="K387" s="80">
        <f>IF(ISERROR(C387*1),-1,C387+IF(LEFT(A387)="T",Bonuses!$BR$3,IF(LEFT(A387)="G",Bonuses!$BS$3,IF(LEFT(A387)="Q",Bonuses!$BT$3,IF(LEFT(A387)="S",Bonuses!$BU$3,IF(LEFT(A387)="R",Bonuses!$BV$3,0))))))+P387</f>
        <v>0</v>
      </c>
      <c r="L387" s="80">
        <v>1</v>
      </c>
      <c r="M387" s="75">
        <v>20</v>
      </c>
      <c r="N387" s="75">
        <v>3</v>
      </c>
      <c r="O387" s="380"/>
      <c r="P387" s="380"/>
      <c r="Q387" s="86">
        <f>MAX((MAX(Stats!$E$2,Ranking!$C$13)-15)*5,0)</f>
        <v>0</v>
      </c>
      <c r="R387" s="83">
        <v>300</v>
      </c>
      <c r="T387" s="419">
        <v>0</v>
      </c>
      <c r="U387" s="419">
        <v>8</v>
      </c>
      <c r="V387" s="419">
        <v>20</v>
      </c>
      <c r="W387" s="420" t="s">
        <v>1389</v>
      </c>
      <c r="X387" s="420" t="s">
        <v>1392</v>
      </c>
    </row>
    <row r="388" spans="1:24" ht="12.75" x14ac:dyDescent="0.2">
      <c r="A388" s="95" t="s">
        <v>249</v>
      </c>
      <c r="B388" s="79" t="s">
        <v>718</v>
      </c>
      <c r="C388" s="126">
        <v>0</v>
      </c>
      <c r="D388" s="125">
        <f>M388+O388+(K388*N388)+IF(OR(LEFT(A388)="G",LEFT(A388)="S"),Stats!$E$3-15+Bonuses!$BO$3,IF(OR(LEFT(A388)="Q",LEFT(A388)="R"),Bonuses!$BQ$3,Bonuses!$BP$3))</f>
        <v>15</v>
      </c>
      <c r="E388" s="125">
        <f t="shared" si="34"/>
        <v>2.25</v>
      </c>
      <c r="F388" s="125">
        <f t="shared" si="35"/>
        <v>0.75</v>
      </c>
      <c r="G388" s="84" t="str">
        <f>10*(1+K388)&amp;" Feet"</f>
        <v>10 Feet</v>
      </c>
      <c r="H388" s="85" t="s">
        <v>240</v>
      </c>
      <c r="I388" s="94" t="str">
        <f>"Freeze up to "&amp;10+10*K388&amp;" cubic feet of water"</f>
        <v>Freeze up to 10 cubic feet of water</v>
      </c>
      <c r="J388" s="394">
        <v>100</v>
      </c>
      <c r="K388" s="80">
        <f>IF(ISERROR(C388*1),-1,C388+IF(LEFT(A388)="T",Bonuses!$BR$3,IF(LEFT(A388)="G",Bonuses!$BS$3,IF(LEFT(A388)="Q",Bonuses!$BT$3,IF(LEFT(A388)="S",Bonuses!$BU$3,IF(LEFT(A388)="R",Bonuses!$BV$3,0))))))+P388</f>
        <v>0</v>
      </c>
      <c r="L388" s="80">
        <v>1</v>
      </c>
      <c r="M388" s="75">
        <v>15</v>
      </c>
      <c r="N388" s="75">
        <v>3</v>
      </c>
      <c r="O388" s="380"/>
      <c r="P388" s="380"/>
      <c r="Q388" s="86">
        <f>MAX((MAX(Stats!$E$2,Ranking!$C$13)-15)*5,0)</f>
        <v>0</v>
      </c>
      <c r="R388" s="83">
        <v>300</v>
      </c>
      <c r="T388" s="421">
        <v>-5</v>
      </c>
      <c r="U388" s="421">
        <v>9</v>
      </c>
      <c r="V388" s="421">
        <v>25</v>
      </c>
      <c r="W388" s="422" t="s">
        <v>1393</v>
      </c>
      <c r="X388" s="422" t="s">
        <v>1394</v>
      </c>
    </row>
    <row r="389" spans="1:24" ht="12.75" x14ac:dyDescent="0.2">
      <c r="A389" s="96" t="s">
        <v>268</v>
      </c>
      <c r="B389" s="87" t="s">
        <v>656</v>
      </c>
      <c r="C389" s="126">
        <v>0</v>
      </c>
      <c r="D389" s="125">
        <f>M389+O389+(K389*N389)+IF(OR(LEFT(A389)="G",LEFT(A389)="S"),Stats!$E$3-15+Bonuses!$BO$3,IF(OR(LEFT(A389)="Q",LEFT(A389)="R"),Bonuses!$BQ$3,Bonuses!$BP$3))</f>
        <v>40</v>
      </c>
      <c r="E389" s="125">
        <f t="shared" si="34"/>
        <v>6</v>
      </c>
      <c r="F389" s="125">
        <f t="shared" si="35"/>
        <v>2</v>
      </c>
      <c r="G389" s="84" t="str">
        <f>25+(25*K389)&amp;" Feet"</f>
        <v>25 Feet</v>
      </c>
      <c r="H389" s="88" t="str">
        <f>"D+"&amp;5+K389&amp;" Mins"</f>
        <v>D+5 Mins</v>
      </c>
      <c r="I389" s="90" t="str">
        <f>CONCATENATE("+",30 + (K389*3)," to MR.")</f>
        <v>+30 to MR.</v>
      </c>
      <c r="J389" s="395">
        <v>100</v>
      </c>
      <c r="K389" s="80">
        <f>IF(ISERROR(C389*1),-1,C389+IF(LEFT(A389)="T",Bonuses!$BR$3,IF(LEFT(A389)="G",Bonuses!$BS$3,IF(LEFT(A389)="Q",Bonuses!$BT$3,IF(LEFT(A389)="S",Bonuses!$BU$3,IF(LEFT(A389)="R",Bonuses!$BV$3,0))))))+P389</f>
        <v>0</v>
      </c>
      <c r="L389" s="80">
        <v>1</v>
      </c>
      <c r="M389" s="89">
        <v>40</v>
      </c>
      <c r="N389" s="75">
        <v>3</v>
      </c>
      <c r="O389" s="380"/>
      <c r="P389" s="380"/>
      <c r="Q389" s="86">
        <f>MAX((MAX(Stats!$E$2,Ranking!$C$13)-15)*5,0)</f>
        <v>0</v>
      </c>
      <c r="R389" s="83">
        <v>300</v>
      </c>
      <c r="T389" s="421">
        <v>-5</v>
      </c>
      <c r="U389" s="421">
        <v>10</v>
      </c>
      <c r="V389" s="421">
        <v>30</v>
      </c>
      <c r="W389" s="422" t="s">
        <v>1393</v>
      </c>
      <c r="X389" s="422" t="s">
        <v>1395</v>
      </c>
    </row>
    <row r="390" spans="1:24" ht="12.75" x14ac:dyDescent="0.2">
      <c r="A390" s="96" t="s">
        <v>268</v>
      </c>
      <c r="B390" s="87" t="s">
        <v>657</v>
      </c>
      <c r="C390" s="126">
        <v>0</v>
      </c>
      <c r="D390" s="125">
        <f>M390+O390+(K390*N390)+IF(OR(LEFT(A390)="G",LEFT(A390)="S"),Stats!$E$3-15+Bonuses!$BO$3,IF(OR(LEFT(A390)="Q",LEFT(A390)="R"),Bonuses!$BQ$3,Bonuses!$BP$3))</f>
        <v>40</v>
      </c>
      <c r="E390" s="125">
        <f t="shared" si="34"/>
        <v>6</v>
      </c>
      <c r="F390" s="125">
        <f t="shared" si="35"/>
        <v>2</v>
      </c>
      <c r="G390" s="84" t="str">
        <f>25+(25*K390)&amp;" Feet"</f>
        <v>25 Feet</v>
      </c>
      <c r="H390" s="88" t="str">
        <f>"D+"&amp;5+K390&amp;" Mins"</f>
        <v>D+5 Mins</v>
      </c>
      <c r="I390" s="90" t="str">
        <f>CONCATENATE("+",30 + (K390*3)," to MR.")</f>
        <v>+30 to MR.</v>
      </c>
      <c r="J390" s="395">
        <v>200</v>
      </c>
      <c r="K390" s="80">
        <f>IF(ISERROR(C390*1),-1,C390+IF(LEFT(A390)="T",Bonuses!$BR$3,IF(LEFT(A390)="G",Bonuses!$BS$3,IF(LEFT(A390)="Q",Bonuses!$BT$3,IF(LEFT(A390)="S",Bonuses!$BU$3,IF(LEFT(A390)="R",Bonuses!$BV$3,0))))))+P390</f>
        <v>0</v>
      </c>
      <c r="L390" s="80">
        <v>1</v>
      </c>
      <c r="M390" s="89">
        <v>40</v>
      </c>
      <c r="N390" s="75">
        <v>3</v>
      </c>
      <c r="O390" s="380"/>
      <c r="P390" s="380"/>
      <c r="Q390" s="86">
        <f>MAX((MAX(Stats!$E$2,Ranking!$C$13)-15)*5,0)</f>
        <v>0</v>
      </c>
      <c r="R390" s="83">
        <v>300</v>
      </c>
      <c r="T390" s="32">
        <v>-10</v>
      </c>
      <c r="U390" s="32">
        <v>11</v>
      </c>
      <c r="V390" s="32">
        <v>35</v>
      </c>
      <c r="W390" s="423" t="s">
        <v>1396</v>
      </c>
      <c r="X390" s="423" t="s">
        <v>1397</v>
      </c>
    </row>
    <row r="391" spans="1:24" ht="12.75" x14ac:dyDescent="0.2">
      <c r="A391" s="95" t="s">
        <v>251</v>
      </c>
      <c r="B391" s="79" t="s">
        <v>719</v>
      </c>
      <c r="C391" s="126">
        <v>0</v>
      </c>
      <c r="D391" s="125">
        <f>M391+O391+(K391*N391)+IF(OR(LEFT(A391)="G",LEFT(A391)="S"),Stats!$E$3-15+Bonuses!$BO$3,IF(OR(LEFT(A391)="Q",LEFT(A391)="R"),Bonuses!$BQ$3,Bonuses!$BP$3))</f>
        <v>15</v>
      </c>
      <c r="E391" s="125">
        <f t="shared" si="34"/>
        <v>2.25</v>
      </c>
      <c r="F391" s="125">
        <f t="shared" si="35"/>
        <v>0.75</v>
      </c>
      <c r="G391" s="84"/>
      <c r="H391" s="85" t="str">
        <f>1*(1+K391)&amp;" Hours"</f>
        <v>1 Hours</v>
      </c>
      <c r="I391" s="565" t="str">
        <f>"2' walls, "&amp;ROUNDUP((5+K391)/2,0)&amp;"' entry, -10°c feels like "&amp;ROUND(5/4*K391,0)-5&amp;"°c"</f>
        <v>2' walls, 3' entry, -10°c feels like -5°c</v>
      </c>
      <c r="J391" s="394">
        <v>100</v>
      </c>
      <c r="K391" s="80">
        <f>IF(ISERROR(C391*1),-1,C391+IF(LEFT(A391)="T",Bonuses!$BR$3,IF(LEFT(A391)="G",Bonuses!$BS$3,IF(LEFT(A391)="Q",Bonuses!$BT$3,IF(LEFT(A391)="S",Bonuses!$BU$3,IF(LEFT(A391)="R",Bonuses!$BV$3,0))))))+P391</f>
        <v>0</v>
      </c>
      <c r="L391" s="80">
        <v>7</v>
      </c>
      <c r="M391" s="75">
        <f>Stats!$E$3</f>
        <v>15</v>
      </c>
      <c r="N391" s="75">
        <v>4</v>
      </c>
      <c r="O391" s="380"/>
      <c r="P391" s="380"/>
      <c r="Q391" s="86">
        <f>MAX((MAX(Stats!$E$2,Ranking!$C$13)-15)*5,0)</f>
        <v>0</v>
      </c>
      <c r="R391" s="83">
        <v>300</v>
      </c>
      <c r="T391" s="32">
        <v>-10</v>
      </c>
      <c r="U391" s="32" t="s">
        <v>1398</v>
      </c>
      <c r="V391" s="32" t="s">
        <v>1399</v>
      </c>
      <c r="W391" s="423" t="s">
        <v>1400</v>
      </c>
      <c r="X391" s="423" t="s">
        <v>1401</v>
      </c>
    </row>
    <row r="392" spans="1:24" ht="12.75" x14ac:dyDescent="0.2">
      <c r="A392" s="95" t="s">
        <v>298</v>
      </c>
      <c r="B392" s="79" t="s">
        <v>720</v>
      </c>
      <c r="C392" s="126">
        <v>0</v>
      </c>
      <c r="D392" s="125">
        <f>M392+O392+(K392*N392)+IF(OR(LEFT(A392)="G",LEFT(A392)="S"),Stats!$E$3-15+Bonuses!$BO$3,IF(OR(LEFT(A392)="Q",LEFT(A392)="R"),Bonuses!$BQ$3,Bonuses!$BP$3))</f>
        <v>15</v>
      </c>
      <c r="E392" s="125">
        <f>D392*0.15</f>
        <v>2.25</v>
      </c>
      <c r="F392" s="125">
        <f>D392*0.05</f>
        <v>0.75</v>
      </c>
      <c r="G392" s="84" t="str">
        <f>5*(1+K392)&amp;" Feet Rad."</f>
        <v>5 Feet Rad.</v>
      </c>
      <c r="H392" s="85" t="str">
        <f>1*(1+K392)&amp;" Hours C."</f>
        <v>1 Hours C.</v>
      </c>
      <c r="I392" s="565" t="s">
        <v>1511</v>
      </c>
      <c r="J392" s="394">
        <v>750</v>
      </c>
      <c r="K392" s="80">
        <f>IF(ISERROR(C392*1),-1,C392+IF(LEFT(A392)="T",Bonuses!$BR$3,IF(LEFT(A392)="G",Bonuses!$BS$3,IF(LEFT(A392)="Q",Bonuses!$BT$3,IF(LEFT(A392)="S",Bonuses!$BU$3,IF(LEFT(A392)="R",Bonuses!$BV$3,0))))))+P392</f>
        <v>0</v>
      </c>
      <c r="L392" s="80">
        <v>7</v>
      </c>
      <c r="M392" s="75">
        <f>Stats!$E$3</f>
        <v>15</v>
      </c>
      <c r="N392" s="75">
        <v>4</v>
      </c>
      <c r="O392" s="380"/>
      <c r="P392" s="380"/>
      <c r="Q392" s="86">
        <f>MAX((MAX(Stats!$E$2,Ranking!$C$13)-15)*5,0)</f>
        <v>0</v>
      </c>
      <c r="R392" s="83">
        <v>300</v>
      </c>
      <c r="T392" s="402" t="s">
        <v>1402</v>
      </c>
      <c r="U392" s="5"/>
      <c r="V392" s="5"/>
      <c r="W392" s="5"/>
      <c r="X392" s="5"/>
    </row>
    <row r="393" spans="1:24" s="92" customFormat="1" x14ac:dyDescent="0.2">
      <c r="A393" s="96" t="s">
        <v>267</v>
      </c>
      <c r="B393" s="87" t="s">
        <v>252</v>
      </c>
      <c r="C393" s="126">
        <v>0</v>
      </c>
      <c r="D393" s="125">
        <f>M393+O393+(K393*N393)+IF(OR(LEFT(A393)="G",LEFT(A393)="S"),Stats!$E$3-15+Bonuses!$BO$3,IF(OR(LEFT(A393)="Q",LEFT(A393)="R"),Bonuses!$BQ$3,Bonuses!$BP$3))</f>
        <v>30</v>
      </c>
      <c r="E393" s="125">
        <f t="shared" si="34"/>
        <v>4.5</v>
      </c>
      <c r="F393" s="125">
        <f>D393*0.05</f>
        <v>1.5</v>
      </c>
      <c r="G393" s="81"/>
      <c r="H393" s="88" t="str">
        <f>4+(4*K393)&amp;" Hours"</f>
        <v>4 Hours</v>
      </c>
      <c r="I393" s="90" t="str">
        <f>CONCATENATE("+ ",K393," MR. +",TRUNC(K393/5)," MA.")</f>
        <v>+ 0 MR. +0 MA.</v>
      </c>
      <c r="J393" s="395">
        <v>200</v>
      </c>
      <c r="K393" s="80">
        <f>IF(ISERROR(C393*1),-1,C393+IF(LEFT(A393)="T",Bonuses!$BR$3,IF(LEFT(A393)="G",Bonuses!$BS$3,IF(LEFT(A393)="Q",Bonuses!$BT$3,IF(LEFT(A393)="S",Bonuses!$BU$3,IF(LEFT(A393)="R",Bonuses!$BV$3,0))))))+P393</f>
        <v>0</v>
      </c>
      <c r="L393" s="84">
        <v>7</v>
      </c>
      <c r="M393" s="89">
        <f>Stats!$E$3+Stats!$F$3</f>
        <v>30</v>
      </c>
      <c r="N393" s="75">
        <v>3</v>
      </c>
      <c r="O393" s="380"/>
      <c r="P393" s="380"/>
      <c r="Q393" s="86">
        <f>MAX((MAX(Stats!$E$2,Ranking!$C$13)-15)*5,0)</f>
        <v>0</v>
      </c>
      <c r="R393" s="91">
        <v>300</v>
      </c>
      <c r="S393" s="84"/>
    </row>
    <row r="394" spans="1:24" x14ac:dyDescent="0.2">
      <c r="A394" s="95" t="s">
        <v>253</v>
      </c>
      <c r="B394" s="79" t="s">
        <v>721</v>
      </c>
      <c r="C394" s="126" t="s">
        <v>283</v>
      </c>
      <c r="D394" s="125">
        <f>M394+O394+(K394*N394)+IF(OR(LEFT(A394)="G",LEFT(A394)="S"),Stats!$E$3-15+Bonuses!$BO$3,IF(OR(LEFT(A394)="Q",LEFT(A394)="R"),Bonuses!$BQ$3,Bonuses!$BP$3))</f>
        <v>17</v>
      </c>
      <c r="E394" s="125">
        <f t="shared" si="34"/>
        <v>2.5499999999999998</v>
      </c>
      <c r="F394" s="125">
        <f t="shared" si="35"/>
        <v>0.85000000000000009</v>
      </c>
      <c r="G394" s="84" t="s">
        <v>679</v>
      </c>
      <c r="H394" s="85" t="str">
        <f>ROUND(1/2*(1+K394),1)&amp;" Hours"</f>
        <v>0 Hours</v>
      </c>
      <c r="I394" s="94" t="str">
        <f>5+TRUNC(K394/4,0)&amp;" AP +/-2 wt 5 -2AG -20 stealth"</f>
        <v>5 AP +/-2 wt 5 -2AG -20 stealth</v>
      </c>
      <c r="J394" s="394">
        <v>250</v>
      </c>
      <c r="K394" s="80">
        <f>IF(ISERROR(C394*1),-1,C394+IF(LEFT(A394)="T",Bonuses!$BR$3,IF(LEFT(A394)="G",Bonuses!$BS$3,IF(LEFT(A394)="Q",Bonuses!$BT$3,IF(LEFT(A394)="S",Bonuses!$BU$3,IF(LEFT(A394)="R",Bonuses!$BV$3,0))))))+P394</f>
        <v>-1</v>
      </c>
      <c r="L394" s="80">
        <v>1</v>
      </c>
      <c r="M394" s="75">
        <v>20</v>
      </c>
      <c r="N394" s="75">
        <v>3</v>
      </c>
      <c r="O394" s="380"/>
      <c r="P394" s="380"/>
      <c r="R394" s="83">
        <v>5000</v>
      </c>
    </row>
    <row r="395" spans="1:24" x14ac:dyDescent="0.2">
      <c r="A395" s="95" t="s">
        <v>254</v>
      </c>
      <c r="B395" s="79" t="s">
        <v>722</v>
      </c>
      <c r="C395" s="126" t="s">
        <v>283</v>
      </c>
      <c r="D395" s="125">
        <f>M395+O395+(K395*N395)+IF(OR(LEFT(A395)="G",LEFT(A395)="S"),Stats!$E$3-15+Bonuses!$BO$3,IF(OR(LEFT(A395)="Q",LEFT(A395)="R"),Bonuses!$BQ$3,Bonuses!$BP$3))</f>
        <v>22</v>
      </c>
      <c r="E395" s="125">
        <f t="shared" si="34"/>
        <v>3.3</v>
      </c>
      <c r="F395" s="125">
        <f t="shared" si="35"/>
        <v>1.1000000000000001</v>
      </c>
      <c r="G395" s="84" t="str">
        <f>10*(1+K395)&amp;" Feet"</f>
        <v>0 Feet</v>
      </c>
      <c r="H395" s="85" t="str">
        <f>ROUND(1/3*(1+K395),1)&amp;" Hours"</f>
        <v>0 Hours</v>
      </c>
      <c r="I395" s="565" t="str">
        <f>"Transform 1 min/met obj up to "&amp;5+5*K395&amp;"lbs"</f>
        <v>Transform 1 min/met obj up to 0lbs</v>
      </c>
      <c r="J395" s="394">
        <v>300</v>
      </c>
      <c r="K395" s="80">
        <f>IF(ISERROR(C395*1),-1,C395+IF(LEFT(A395)="T",Bonuses!$BR$3,IF(LEFT(A395)="G",Bonuses!$BS$3,IF(LEFT(A395)="Q",Bonuses!$BT$3,IF(LEFT(A395)="S",Bonuses!$BU$3,IF(LEFT(A395)="R",Bonuses!$BV$3,0))))))+P395</f>
        <v>-1</v>
      </c>
      <c r="L395" s="80">
        <v>1</v>
      </c>
      <c r="M395" s="75">
        <v>25</v>
      </c>
      <c r="N395" s="75">
        <v>3</v>
      </c>
      <c r="O395" s="380"/>
      <c r="P395" s="380"/>
      <c r="R395" s="83">
        <v>8000</v>
      </c>
    </row>
    <row r="396" spans="1:24" x14ac:dyDescent="0.2">
      <c r="A396" s="95" t="s">
        <v>255</v>
      </c>
      <c r="B396" s="79" t="s">
        <v>723</v>
      </c>
      <c r="C396" s="126" t="s">
        <v>283</v>
      </c>
      <c r="D396" s="125">
        <f>M396+O396+(K396*N396)+IF(OR(LEFT(A396)="G",LEFT(A396)="S"),Stats!$E$3-15+Bonuses!$BO$3,IF(OR(LEFT(A396)="Q",LEFT(A396)="R"),Bonuses!$BQ$3,Bonuses!$BP$3))</f>
        <v>27</v>
      </c>
      <c r="E396" s="125">
        <f t="shared" si="34"/>
        <v>4.05</v>
      </c>
      <c r="F396" s="125">
        <f t="shared" si="35"/>
        <v>1.35</v>
      </c>
      <c r="G396" s="84" t="str">
        <f>5*(1+K396)&amp;" Feet"</f>
        <v>0 Feet</v>
      </c>
      <c r="H396" s="85" t="str">
        <f>5*(1+K396)&amp;" Secs"</f>
        <v>0 Secs</v>
      </c>
      <c r="I396" s="565" t="str">
        <f>10+K396&amp;"' cube D-4+"&amp;K396&amp;" / pulse Res 0."</f>
        <v>9' cube D-4+-1 / pulse Res 0.</v>
      </c>
      <c r="J396" s="394">
        <v>225</v>
      </c>
      <c r="K396" s="80">
        <f>IF(ISERROR(C396*1),-1,C396+IF(LEFT(A396)="T",Bonuses!$BR$3,IF(LEFT(A396)="G",Bonuses!$BS$3,IF(LEFT(A396)="Q",Bonuses!$BT$3,IF(LEFT(A396)="S",Bonuses!$BU$3,IF(LEFT(A396)="R",Bonuses!$BV$3,0))))))+P396</f>
        <v>-1</v>
      </c>
      <c r="L396" s="80">
        <v>1</v>
      </c>
      <c r="M396" s="75">
        <v>30</v>
      </c>
      <c r="N396" s="75">
        <v>3</v>
      </c>
      <c r="O396" s="380"/>
      <c r="P396" s="380"/>
      <c r="R396" s="83">
        <v>10000</v>
      </c>
    </row>
    <row r="397" spans="1:24" x14ac:dyDescent="0.2">
      <c r="A397" s="95" t="s">
        <v>256</v>
      </c>
      <c r="B397" s="79" t="s">
        <v>724</v>
      </c>
      <c r="C397" s="126" t="s">
        <v>283</v>
      </c>
      <c r="D397" s="125">
        <f>M397+O397+(K397*N397)+IF(OR(LEFT(A397)="G",LEFT(A397)="S"),Stats!$E$3-15+Bonuses!$BO$3,IF(OR(LEFT(A397)="Q",LEFT(A397)="R"),Bonuses!$BQ$3,Bonuses!$BP$3))</f>
        <v>17</v>
      </c>
      <c r="E397" s="125">
        <f t="shared" si="34"/>
        <v>2.5499999999999998</v>
      </c>
      <c r="F397" s="125">
        <f t="shared" si="35"/>
        <v>0.85000000000000009</v>
      </c>
      <c r="G397" s="84" t="str">
        <f>25*(2+K397)&amp;" Feet"</f>
        <v>25 Feet</v>
      </c>
      <c r="H397" s="85" t="s">
        <v>240</v>
      </c>
      <c r="I397" s="565" t="str">
        <f>"Kills "&amp;5*K397&amp;"% of OR "&amp;1+K397&amp;" plants."</f>
        <v>Kills -5% of OR 0 plants.</v>
      </c>
      <c r="J397" s="394">
        <v>200</v>
      </c>
      <c r="K397" s="80">
        <f>IF(ISERROR(C397*1),-1,C397+IF(LEFT(A397)="T",Bonuses!$BR$3,IF(LEFT(A397)="G",Bonuses!$BS$3,IF(LEFT(A397)="Q",Bonuses!$BT$3,IF(LEFT(A397)="S",Bonuses!$BU$3,IF(LEFT(A397)="R",Bonuses!$BV$3,0))))))+P397</f>
        <v>-1</v>
      </c>
      <c r="L397" s="80">
        <v>1</v>
      </c>
      <c r="M397" s="75">
        <v>20</v>
      </c>
      <c r="N397" s="75">
        <v>3</v>
      </c>
      <c r="O397" s="380"/>
      <c r="P397" s="380"/>
      <c r="R397" s="83">
        <v>500</v>
      </c>
    </row>
    <row r="398" spans="1:24" x14ac:dyDescent="0.2">
      <c r="A398" s="95" t="s">
        <v>257</v>
      </c>
      <c r="B398" s="79" t="s">
        <v>725</v>
      </c>
      <c r="C398" s="126" t="s">
        <v>283</v>
      </c>
      <c r="D398" s="125"/>
      <c r="E398" s="125">
        <f t="shared" si="34"/>
        <v>0</v>
      </c>
      <c r="F398" s="125">
        <f t="shared" si="35"/>
        <v>0</v>
      </c>
      <c r="G398" s="84" t="str">
        <f>10*(1+K398)&amp;" Feet"</f>
        <v>0 Feet</v>
      </c>
      <c r="H398" s="85" t="s">
        <v>240</v>
      </c>
      <c r="I398" s="565" t="str">
        <f>"Freeze Blood ResOrDie Ent &lt;="&amp;1+TRUNC(K398/2,0)&amp;" hex"</f>
        <v>Freeze Blood ResOrDie Ent &lt;=1 hex</v>
      </c>
      <c r="J398" s="394">
        <v>500</v>
      </c>
      <c r="K398" s="80">
        <f>IF(ISERROR(C398*1),-1,C398+IF(LEFT(A398)="T",Bonuses!$BR$3,IF(LEFT(A398)="G",Bonuses!$BS$3,IF(LEFT(A398)="Q",Bonuses!$BT$3,IF(LEFT(A398)="S",Bonuses!$BU$3,IF(LEFT(A398)="R",Bonuses!$BV$3,0))))))+P398</f>
        <v>-1</v>
      </c>
      <c r="L398" s="80">
        <v>1</v>
      </c>
      <c r="M398" s="75">
        <v>5</v>
      </c>
      <c r="N398" s="75">
        <v>3</v>
      </c>
      <c r="O398" s="380"/>
      <c r="P398" s="380"/>
    </row>
    <row r="399" spans="1:24" x14ac:dyDescent="0.2">
      <c r="A399" s="95" t="s">
        <v>258</v>
      </c>
      <c r="B399" s="79" t="s">
        <v>726</v>
      </c>
      <c r="C399" s="126" t="s">
        <v>283</v>
      </c>
      <c r="D399" s="125">
        <f>M399+O399+(K399*N399)+IF(OR(LEFT(A399)="G",LEFT(A399)="S"),Stats!$E$3-15+Bonuses!$BO$3,IF(OR(LEFT(A399)="Q",LEFT(A399)="R"),Bonuses!$BQ$3,Bonuses!$BP$3))</f>
        <v>17</v>
      </c>
      <c r="E399" s="125">
        <f t="shared" si="34"/>
        <v>2.5499999999999998</v>
      </c>
      <c r="F399" s="125">
        <f t="shared" si="35"/>
        <v>0.85000000000000009</v>
      </c>
      <c r="G399" s="84" t="s">
        <v>638</v>
      </c>
      <c r="H399" s="85" t="str">
        <f>IF(K399&lt;20,"&lt;= "&amp;POWER(K399,2)&amp;" Days","Adept Specifies")</f>
        <v>&lt;= 1 Days</v>
      </c>
      <c r="I399" s="565"/>
      <c r="J399" s="394">
        <v>250</v>
      </c>
      <c r="K399" s="80">
        <f>IF(ISERROR(C399*1),-1,C399+IF(LEFT(A399)="T",Bonuses!$BR$3,IF(LEFT(A399)="G",Bonuses!$BS$3,IF(LEFT(A399)="Q",Bonuses!$BT$3,IF(LEFT(A399)="S",Bonuses!$BU$3,IF(LEFT(A399)="R",Bonuses!$BV$3,0))))))+P399</f>
        <v>-1</v>
      </c>
      <c r="L399" s="80">
        <v>1</v>
      </c>
      <c r="M399" s="75">
        <v>20</v>
      </c>
      <c r="N399" s="75">
        <v>3</v>
      </c>
      <c r="O399" s="380"/>
      <c r="P399" s="380"/>
    </row>
    <row r="400" spans="1:24" x14ac:dyDescent="0.2">
      <c r="A400" s="95" t="s">
        <v>259</v>
      </c>
      <c r="B400" s="79" t="s">
        <v>727</v>
      </c>
      <c r="C400" s="126" t="s">
        <v>283</v>
      </c>
      <c r="D400" s="125">
        <f>M400+O400+(K400*N400)+IF(OR(LEFT(A400)="G",LEFT(A400)="S"),Stats!$E$3-15+Bonuses!$BO$3,IF(OR(LEFT(A400)="Q",LEFT(A400)="R"),Bonuses!$BQ$3,Bonuses!$BP$3))</f>
        <v>32</v>
      </c>
      <c r="E400" s="125">
        <f t="shared" si="34"/>
        <v>4.8</v>
      </c>
      <c r="F400" s="125">
        <f t="shared" si="35"/>
        <v>1.6</v>
      </c>
      <c r="G400" s="84" t="str">
        <f>10*(2+K400)&amp;" Feet"</f>
        <v>10 Feet</v>
      </c>
      <c r="H400" s="85" t="s">
        <v>240</v>
      </c>
      <c r="I400" s="565" t="str">
        <f>"SC: "&amp;Stats!C347+30+(3*K400)+Bonuses!AK381+Bonuses!AY381&amp;"% D+"&amp;4+K400&amp;" A-Class"</f>
        <v>SC: 27% D+3 A-Class</v>
      </c>
      <c r="J400" s="394">
        <v>300</v>
      </c>
      <c r="K400" s="80">
        <f>IF(ISERROR(C400*1),-1,C400+IF(LEFT(A400)="T",Bonuses!$BR$3,IF(LEFT(A400)="G",Bonuses!$BS$3,IF(LEFT(A400)="Q",Bonuses!$BT$3,IF(LEFT(A400)="S",Bonuses!$BU$3,IF(LEFT(A400)="R",Bonuses!$BV$3,0))))))+P400</f>
        <v>-1</v>
      </c>
      <c r="L400" s="80">
        <v>1</v>
      </c>
      <c r="M400" s="75">
        <v>35</v>
      </c>
      <c r="N400" s="75">
        <v>3</v>
      </c>
      <c r="O400" s="380"/>
      <c r="P400" s="380"/>
      <c r="R400" s="83">
        <v>3000</v>
      </c>
    </row>
    <row r="401" spans="1:24" x14ac:dyDescent="0.2">
      <c r="A401" s="95" t="s">
        <v>260</v>
      </c>
      <c r="B401" s="79" t="s">
        <v>728</v>
      </c>
      <c r="C401" s="126" t="s">
        <v>283</v>
      </c>
      <c r="D401" s="125">
        <f>M401+O401+(K401*N401)+IF(OR(LEFT(A401)="G",LEFT(A401)="S"),Stats!$E$3-15+Bonuses!$BO$3,IF(OR(LEFT(A401)="Q",LEFT(A401)="R"),Bonuses!$BQ$3,Bonuses!$BP$3))</f>
        <v>12</v>
      </c>
      <c r="E401" s="125">
        <f t="shared" si="34"/>
        <v>1.7999999999999998</v>
      </c>
      <c r="F401" s="125">
        <f t="shared" si="35"/>
        <v>0.60000000000000009</v>
      </c>
      <c r="G401" s="84" t="str">
        <f>5*(3+K401)&amp;" Feet"</f>
        <v>10 Feet</v>
      </c>
      <c r="H401" s="85" t="str">
        <f>10*(1+K401)&amp;" Mins"</f>
        <v>0 Mins</v>
      </c>
      <c r="I401" s="565" t="str">
        <f>30*(K401+1)&amp;"cu' "&amp;K401+1&amp;" shapes. "&amp;TEXT(30*(K401+1)*47.2,"#,#")&amp;" lbs"</f>
        <v>0cu' 0 shapes.  lbs</v>
      </c>
      <c r="J401" s="394">
        <v>225</v>
      </c>
      <c r="K401" s="80">
        <f>IF(ISERROR(C401*1),-1,C401+IF(LEFT(A401)="T",Bonuses!$BR$3,IF(LEFT(A401)="G",Bonuses!$BS$3,IF(LEFT(A401)="Q",Bonuses!$BT$3,IF(LEFT(A401)="S",Bonuses!$BU$3,IF(LEFT(A401)="R",Bonuses!$BV$3,0))))))+P401</f>
        <v>-1</v>
      </c>
      <c r="L401" s="80">
        <v>1</v>
      </c>
      <c r="M401" s="75">
        <v>15</v>
      </c>
      <c r="N401" s="75">
        <v>3</v>
      </c>
      <c r="O401" s="380"/>
      <c r="P401" s="380"/>
      <c r="R401" s="83">
        <v>5000</v>
      </c>
    </row>
    <row r="402" spans="1:24" x14ac:dyDescent="0.2">
      <c r="A402" s="95" t="s">
        <v>261</v>
      </c>
      <c r="B402" s="79" t="s">
        <v>729</v>
      </c>
      <c r="C402" s="126" t="s">
        <v>283</v>
      </c>
      <c r="D402" s="125">
        <f>M402+O402+(K402*N402)+IF(OR(LEFT(A402)="G",LEFT(A402)="S"),Stats!$E$3-15+Bonuses!$BO$3,IF(OR(LEFT(A402)="Q",LEFT(A402)="R"),Bonuses!$BQ$3,Bonuses!$BP$3))</f>
        <v>27</v>
      </c>
      <c r="E402" s="125">
        <f t="shared" si="34"/>
        <v>4.05</v>
      </c>
      <c r="F402" s="125">
        <f t="shared" si="35"/>
        <v>1.35</v>
      </c>
      <c r="G402" s="84" t="str">
        <f>10*(1+K402)&amp;" Feet"</f>
        <v>0 Feet</v>
      </c>
      <c r="H402" s="85" t="str">
        <f>ROUND(1/2*(1+K402),1)&amp;" Hours C."</f>
        <v>0 Hours C.</v>
      </c>
      <c r="I402" s="565" t="str">
        <f>10+(2*K402)&amp;" ' cu "&amp;1+K402&amp;" hex entity "&amp;5+K402&amp;"mph"</f>
        <v>8 ' cu 0 hex entity 4mph</v>
      </c>
      <c r="J402" s="394">
        <v>150</v>
      </c>
      <c r="K402" s="80">
        <f>IF(ISERROR(C402*1),-1,C402+IF(LEFT(A402)="T",Bonuses!$BR$3,IF(LEFT(A402)="G",Bonuses!$BS$3,IF(LEFT(A402)="Q",Bonuses!$BT$3,IF(LEFT(A402)="S",Bonuses!$BU$3,IF(LEFT(A402)="R",Bonuses!$BV$3,0))))))+P402</f>
        <v>-1</v>
      </c>
      <c r="L402" s="80">
        <v>1</v>
      </c>
      <c r="M402" s="75">
        <v>30</v>
      </c>
      <c r="N402" s="75">
        <v>3</v>
      </c>
      <c r="O402" s="380"/>
      <c r="P402" s="380"/>
      <c r="R402" s="83">
        <v>5000</v>
      </c>
    </row>
    <row r="403" spans="1:24" x14ac:dyDescent="0.2">
      <c r="A403" s="95" t="s">
        <v>262</v>
      </c>
      <c r="B403" s="79" t="s">
        <v>730</v>
      </c>
      <c r="C403" s="126" t="s">
        <v>283</v>
      </c>
      <c r="D403" s="125">
        <f>M403+O403+(K403*N403)+IF(OR(LEFT(A403)="G",LEFT(A403)="S"),Stats!$E$3-15+Bonuses!$BO$3,IF(OR(LEFT(A403)="Q",LEFT(A403)="R"),Bonuses!$BQ$3,Bonuses!$BP$3))</f>
        <v>12</v>
      </c>
      <c r="E403" s="125">
        <f t="shared" si="34"/>
        <v>1.7999999999999998</v>
      </c>
      <c r="F403" s="125">
        <f t="shared" si="35"/>
        <v>0.60000000000000009</v>
      </c>
      <c r="G403" s="84" t="str">
        <f>5*(2+K403)&amp;" Feet"</f>
        <v>5 Feet</v>
      </c>
      <c r="H403" s="84" t="s">
        <v>240</v>
      </c>
      <c r="I403" s="565"/>
      <c r="J403" s="394">
        <v>150</v>
      </c>
      <c r="K403" s="80">
        <f>IF(ISERROR(C403*1),-1,C403+IF(LEFT(A403)="T",Bonuses!$BR$3,IF(LEFT(A403)="G",Bonuses!$BS$3,IF(LEFT(A403)="Q",Bonuses!$BT$3,IF(LEFT(A403)="S",Bonuses!$BU$3,IF(LEFT(A403)="R",Bonuses!$BV$3,0))))))+P403</f>
        <v>-1</v>
      </c>
      <c r="L403" s="80">
        <v>1</v>
      </c>
      <c r="M403" s="75">
        <v>15</v>
      </c>
      <c r="N403" s="75">
        <v>3</v>
      </c>
      <c r="O403" s="380"/>
      <c r="P403" s="380"/>
      <c r="R403" s="83">
        <v>4000</v>
      </c>
    </row>
    <row r="404" spans="1:24" x14ac:dyDescent="0.2">
      <c r="A404" s="95" t="s">
        <v>263</v>
      </c>
      <c r="B404" s="79" t="s">
        <v>731</v>
      </c>
      <c r="C404" s="126" t="s">
        <v>283</v>
      </c>
      <c r="D404" s="125">
        <f>M404+O404+(K404*N404)+IF(OR(LEFT(A404)="G",LEFT(A404)="S"),Stats!$E$3-15+Bonuses!$BO$3,IF(OR(LEFT(A404)="Q",LEFT(A404)="R"),Bonuses!$BQ$3,Bonuses!$BP$3))</f>
        <v>27</v>
      </c>
      <c r="E404" s="125">
        <f t="shared" si="34"/>
        <v>4.05</v>
      </c>
      <c r="F404" s="125">
        <f t="shared" si="35"/>
        <v>1.35</v>
      </c>
      <c r="G404" s="84" t="str">
        <f>5*(4+K404)&amp;" Feet"</f>
        <v>15 Feet</v>
      </c>
      <c r="H404" s="85" t="s">
        <v>240</v>
      </c>
      <c r="I404" s="565" t="str">
        <f>1+K404&amp;" targets D-4+"&amp;K404&amp;" -AP,SG"</f>
        <v>0 targets D-4+-1 -AP,SG</v>
      </c>
      <c r="J404" s="394">
        <v>300</v>
      </c>
      <c r="K404" s="80">
        <f>IF(ISERROR(C404*1),-1,C404+IF(LEFT(A404)="T",Bonuses!$BR$3,IF(LEFT(A404)="G",Bonuses!$BS$3,IF(LEFT(A404)="Q",Bonuses!$BT$3,IF(LEFT(A404)="S",Bonuses!$BU$3,IF(LEFT(A404)="R",Bonuses!$BV$3,0))))))+P404</f>
        <v>-1</v>
      </c>
      <c r="L404" s="80">
        <v>1</v>
      </c>
      <c r="M404" s="75">
        <v>30</v>
      </c>
      <c r="N404" s="75">
        <v>3</v>
      </c>
      <c r="O404" s="380"/>
      <c r="P404" s="380"/>
      <c r="R404" s="83">
        <v>10000</v>
      </c>
    </row>
    <row r="405" spans="1:24" x14ac:dyDescent="0.2">
      <c r="A405" s="95" t="s">
        <v>264</v>
      </c>
      <c r="B405" s="79" t="s">
        <v>732</v>
      </c>
      <c r="C405" s="126" t="s">
        <v>283</v>
      </c>
      <c r="D405" s="125">
        <f>M405+O405+(K405*N405)+IF(OR(LEFT(A405)="G",LEFT(A405)="S"),Stats!$E$3-15+Bonuses!$BO$3,IF(OR(LEFT(A405)="Q",LEFT(A405)="R"),Bonuses!$BQ$3,Bonuses!$BP$3))</f>
        <v>27</v>
      </c>
      <c r="E405" s="125">
        <f t="shared" si="34"/>
        <v>4.05</v>
      </c>
      <c r="F405" s="125">
        <f t="shared" si="35"/>
        <v>1.35</v>
      </c>
      <c r="G405" s="84" t="str">
        <f>15*(2+K405)&amp;" Feet"</f>
        <v>15 Feet</v>
      </c>
      <c r="H405" s="85" t="s">
        <v>240</v>
      </c>
      <c r="I405" s="565" t="str">
        <f>"D+"&amp;1+K405&amp;" res 1/2"</f>
        <v>D+0 res 1/2</v>
      </c>
      <c r="J405" s="394">
        <v>300</v>
      </c>
      <c r="K405" s="80">
        <f>IF(ISERROR(C405*1),-1,C405+IF(LEFT(A405)="T",Bonuses!$BR$3,IF(LEFT(A405)="G",Bonuses!$BS$3,IF(LEFT(A405)="Q",Bonuses!$BT$3,IF(LEFT(A405)="S",Bonuses!$BU$3,IF(LEFT(A405)="R",Bonuses!$BV$3,0))))))+P405</f>
        <v>-1</v>
      </c>
      <c r="L405" s="80">
        <v>1</v>
      </c>
      <c r="M405" s="75">
        <v>30</v>
      </c>
      <c r="N405" s="75">
        <v>3</v>
      </c>
      <c r="O405" s="380"/>
      <c r="P405" s="380"/>
      <c r="R405" s="83">
        <v>7500</v>
      </c>
    </row>
    <row r="406" spans="1:24" x14ac:dyDescent="0.2">
      <c r="A406" s="95" t="s">
        <v>700</v>
      </c>
      <c r="B406" s="79" t="s">
        <v>733</v>
      </c>
      <c r="C406" s="126" t="s">
        <v>283</v>
      </c>
      <c r="D406" s="125">
        <f>M406+O406+(K406*N406)+IF(OR(LEFT(A406)="G",LEFT(A406)="S"),Stats!$E$3-15+Bonuses!$BO$3,IF(OR(LEFT(A406)="Q",LEFT(A406)="R"),Bonuses!$BQ$3,Bonuses!$BP$3))</f>
        <v>17</v>
      </c>
      <c r="E406" s="125">
        <f t="shared" si="34"/>
        <v>2.5499999999999998</v>
      </c>
      <c r="F406" s="125">
        <f t="shared" si="35"/>
        <v>0.85000000000000009</v>
      </c>
      <c r="G406" s="84" t="str">
        <f>10*(1+K406)&amp;" Feet"</f>
        <v>0 Feet</v>
      </c>
      <c r="H406" s="85" t="str">
        <f>10*(1+K406)&amp;" C. Mins"</f>
        <v>0 C. Mins</v>
      </c>
      <c r="I406" s="565"/>
      <c r="J406" s="394">
        <v>200</v>
      </c>
      <c r="K406" s="80">
        <f>IF(ISERROR(C406*1),-1,C406+IF(LEFT(A406)="T",Bonuses!$BR$3,IF(LEFT(A406)="G",Bonuses!$BS$3,IF(LEFT(A406)="Q",Bonuses!$BT$3,IF(LEFT(A406)="S",Bonuses!$BU$3,IF(LEFT(A406)="R",Bonuses!$BV$3,0))))))+P406</f>
        <v>-1</v>
      </c>
      <c r="L406" s="80">
        <v>1</v>
      </c>
      <c r="M406" s="75">
        <v>20</v>
      </c>
      <c r="N406" s="75">
        <v>3</v>
      </c>
      <c r="O406" s="380"/>
      <c r="P406" s="380"/>
      <c r="R406" s="83">
        <v>2000</v>
      </c>
    </row>
    <row r="407" spans="1:24" x14ac:dyDescent="0.2">
      <c r="A407" s="95" t="s">
        <v>702</v>
      </c>
      <c r="B407" s="79" t="s">
        <v>734</v>
      </c>
      <c r="C407" s="126" t="s">
        <v>283</v>
      </c>
      <c r="D407" s="125">
        <f>M407+O407+(K407*N407)+IF(OR(LEFT(A407)="G",LEFT(A407)="S"),Stats!$E$3-15+Bonuses!$BO$3,IF(OR(LEFT(A407)="Q",LEFT(A407)="R"),Bonuses!$BQ$3,Bonuses!$BP$3))</f>
        <v>37</v>
      </c>
      <c r="E407" s="125">
        <f t="shared" si="34"/>
        <v>5.55</v>
      </c>
      <c r="F407" s="125">
        <f t="shared" si="35"/>
        <v>1.85</v>
      </c>
      <c r="G407" s="84" t="str">
        <f>10*(1+K407)&amp;" Feet"</f>
        <v>0 Feet</v>
      </c>
      <c r="H407" s="85" t="str">
        <f>5*(2+K407)&amp;" Mins"</f>
        <v>5 Mins</v>
      </c>
      <c r="I407" s="565" t="str">
        <f>40+5*K407&amp;" dia. Snows from +10-40' alt."</f>
        <v>35 dia. Snows from +10-40' alt.</v>
      </c>
      <c r="J407" s="394">
        <v>200</v>
      </c>
      <c r="K407" s="80">
        <f>IF(ISERROR(C407*1),-1,C407+IF(LEFT(A407)="T",Bonuses!$BR$3,IF(LEFT(A407)="G",Bonuses!$BS$3,IF(LEFT(A407)="Q",Bonuses!$BT$3,IF(LEFT(A407)="S",Bonuses!$BU$3,IF(LEFT(A407)="R",Bonuses!$BV$3,0))))))+P407</f>
        <v>-1</v>
      </c>
      <c r="L407" s="80">
        <v>1</v>
      </c>
      <c r="M407" s="75">
        <v>40</v>
      </c>
      <c r="N407" s="75">
        <v>3</v>
      </c>
      <c r="O407" s="380"/>
      <c r="P407" s="380"/>
      <c r="R407" s="83">
        <v>1000</v>
      </c>
    </row>
    <row r="408" spans="1:24" x14ac:dyDescent="0.2">
      <c r="A408" s="95" t="s">
        <v>735</v>
      </c>
      <c r="B408" s="79" t="s">
        <v>736</v>
      </c>
      <c r="C408" s="126" t="s">
        <v>283</v>
      </c>
      <c r="D408" s="125">
        <f>M408+O408+(K408*N408)+IF(OR(LEFT(A408)="G",LEFT(A408)="S"),Stats!$E$3-15+Bonuses!$BO$3,IF(OR(LEFT(A408)="Q",LEFT(A408)="R"),Bonuses!$BQ$3,Bonuses!$BP$3))</f>
        <v>27</v>
      </c>
      <c r="E408" s="125">
        <f t="shared" si="34"/>
        <v>4.05</v>
      </c>
      <c r="F408" s="125">
        <f t="shared" si="35"/>
        <v>1.35</v>
      </c>
      <c r="G408" s="84" t="str">
        <f>10*(2+K408)&amp;" Feet"</f>
        <v>10 Feet</v>
      </c>
      <c r="H408" s="85" t="str">
        <f>10*(1+K408)&amp;" Mins"</f>
        <v>0 Mins</v>
      </c>
      <c r="I408" s="565" t="str">
        <f>"10.20.2Wl; 15h.3dPr. +"&amp;K408</f>
        <v>10.20.2Wl; 15h.3dPr. +-1</v>
      </c>
      <c r="J408" s="394">
        <v>200</v>
      </c>
      <c r="K408" s="80">
        <f>IF(ISERROR(C408*1),-1,C408+IF(LEFT(A408)="T",Bonuses!$BR$3,IF(LEFT(A408)="G",Bonuses!$BS$3,IF(LEFT(A408)="Q",Bonuses!$BT$3,IF(LEFT(A408)="S",Bonuses!$BU$3,IF(LEFT(A408)="R",Bonuses!$BV$3,0))))))+P408</f>
        <v>-1</v>
      </c>
      <c r="L408" s="80">
        <v>1</v>
      </c>
      <c r="M408" s="75">
        <v>30</v>
      </c>
      <c r="N408" s="75">
        <v>3</v>
      </c>
      <c r="O408" s="380"/>
      <c r="P408" s="380"/>
      <c r="R408" s="83">
        <v>4000</v>
      </c>
    </row>
    <row r="409" spans="1:24" x14ac:dyDescent="0.2">
      <c r="A409" s="95" t="s">
        <v>737</v>
      </c>
      <c r="B409" s="79" t="s">
        <v>738</v>
      </c>
      <c r="C409" s="126" t="s">
        <v>283</v>
      </c>
      <c r="D409" s="125">
        <f>M409+O409+(K409*N409)+IF(OR(LEFT(A409)="G",LEFT(A409)="S"),Stats!$E$3-15+Bonuses!$BO$3,IF(OR(LEFT(A409)="Q",LEFT(A409)="R"),Bonuses!$BQ$3,Bonuses!$BP$3))</f>
        <v>27</v>
      </c>
      <c r="E409" s="125">
        <f t="shared" si="34"/>
        <v>4.05</v>
      </c>
      <c r="F409" s="125">
        <f t="shared" si="35"/>
        <v>1.35</v>
      </c>
      <c r="G409" s="84" t="str">
        <f>5*(2+K409)&amp;" Feet"</f>
        <v>5 Feet</v>
      </c>
      <c r="H409" s="85" t="str">
        <f>1*(5+K409)&amp;" Mins"</f>
        <v>4 Mins</v>
      </c>
      <c r="I409" s="94" t="str">
        <f>CONCATENATE("+",1+K409," BC%, +",1+TRUNC(K409/3,0)," Dam. +"&amp;1+K409&amp;" vs Fire")</f>
        <v>+0 BC%, +1 Dam. +0 vs Fire</v>
      </c>
      <c r="J409" s="394">
        <v>250</v>
      </c>
      <c r="K409" s="80">
        <f>IF(ISERROR(C409*1),-1,C409+IF(LEFT(A409)="T",Bonuses!$BR$3,IF(LEFT(A409)="G",Bonuses!$BS$3,IF(LEFT(A409)="Q",Bonuses!$BT$3,IF(LEFT(A409)="S",Bonuses!$BU$3,IF(LEFT(A409)="R",Bonuses!$BV$3,0))))))+P409</f>
        <v>-1</v>
      </c>
      <c r="L409" s="80">
        <v>1</v>
      </c>
      <c r="M409" s="75">
        <v>30</v>
      </c>
      <c r="N409" s="75">
        <v>3</v>
      </c>
      <c r="O409" s="380"/>
      <c r="P409" s="380"/>
      <c r="R409" s="83">
        <v>3000</v>
      </c>
    </row>
    <row r="410" spans="1:24" x14ac:dyDescent="0.2">
      <c r="A410" s="95" t="s">
        <v>739</v>
      </c>
      <c r="B410" s="79" t="s">
        <v>740</v>
      </c>
      <c r="C410" s="126" t="s">
        <v>283</v>
      </c>
      <c r="D410" s="125">
        <f>M410+O410+(K410*N410)+IF(OR(LEFT(A410)="G",LEFT(A410)="S"),Stats!$E$3-15+Bonuses!$BO$3,IF(OR(LEFT(A410)="Q",LEFT(A410)="R"),Bonuses!$BQ$3,Bonuses!$BP$3))</f>
        <v>32</v>
      </c>
      <c r="E410" s="125">
        <f t="shared" si="34"/>
        <v>4.8</v>
      </c>
      <c r="F410" s="125">
        <f t="shared" si="35"/>
        <v>1.6</v>
      </c>
      <c r="G410" s="84" t="str">
        <f>10*(2+K410)&amp;" Feet"</f>
        <v>10 Feet</v>
      </c>
      <c r="H410" s="85" t="str">
        <f>2*(1+K410)&amp;" Weeks"</f>
        <v>0 Weeks</v>
      </c>
      <c r="I410" s="565" t="str">
        <f>"Protect plants from cold "&amp;ROUND((POWER(10*(2+K410),2)*PI()/43560),1)&amp;" acres"</f>
        <v>Protect plants from cold 0 acres</v>
      </c>
      <c r="J410" s="394">
        <v>100</v>
      </c>
      <c r="K410" s="80">
        <f>IF(ISERROR(C410*1),-1,C410+IF(LEFT(A410)="T",Bonuses!$BR$3,IF(LEFT(A410)="G",Bonuses!$BS$3,IF(LEFT(A410)="Q",Bonuses!$BT$3,IF(LEFT(A410)="S",Bonuses!$BU$3,IF(LEFT(A410)="R",Bonuses!$BV$3,0))))))+P410</f>
        <v>-1</v>
      </c>
      <c r="L410" s="80">
        <v>1</v>
      </c>
      <c r="M410" s="75">
        <v>35</v>
      </c>
      <c r="N410" s="75">
        <v>3</v>
      </c>
      <c r="O410" s="380"/>
      <c r="P410" s="380"/>
      <c r="R410" s="83">
        <v>1000</v>
      </c>
    </row>
    <row r="411" spans="1:24" x14ac:dyDescent="0.2">
      <c r="A411" s="95" t="s">
        <v>625</v>
      </c>
      <c r="B411" s="79" t="s">
        <v>741</v>
      </c>
      <c r="C411" s="126" t="s">
        <v>283</v>
      </c>
      <c r="D411" s="125">
        <f>M411+O411+(K411*N411)+IF(OR(LEFT(A411)="G",LEFT(A411)="S"),Stats!$E$3-15+Bonuses!$BO$3,IF(OR(LEFT(A411)="Q",LEFT(A411)="R"),Bonuses!$BQ$3,Bonuses!$BP$3))</f>
        <v>12</v>
      </c>
      <c r="E411" s="125">
        <f t="shared" si="34"/>
        <v>1.7999999999999998</v>
      </c>
      <c r="F411" s="125">
        <f t="shared" si="35"/>
        <v>0.60000000000000009</v>
      </c>
      <c r="G411" s="84"/>
      <c r="H411" s="85" t="str">
        <f>1*(1+K411)&amp;" Hours C."</f>
        <v>0 Hours C.</v>
      </c>
      <c r="I411" s="565"/>
      <c r="J411" s="394">
        <v>300</v>
      </c>
      <c r="K411" s="80">
        <f>IF(ISERROR(C411*1),-1,C411+IF(LEFT(A411)="T",Bonuses!$BR$3,IF(LEFT(A411)="G",Bonuses!$BS$3,IF(LEFT(A411)="Q",Bonuses!$BT$3,IF(LEFT(A411)="S",Bonuses!$BU$3,IF(LEFT(A411)="R",Bonuses!$BV$3,0))))))+P411</f>
        <v>-1</v>
      </c>
      <c r="L411" s="80">
        <v>7</v>
      </c>
      <c r="M411" s="75">
        <f>Stats!$E$3</f>
        <v>15</v>
      </c>
      <c r="N411" s="75">
        <v>3</v>
      </c>
      <c r="O411" s="380"/>
      <c r="P411" s="380"/>
      <c r="R411" s="83">
        <v>15000</v>
      </c>
    </row>
    <row r="412" spans="1:24" x14ac:dyDescent="0.2">
      <c r="A412" s="95" t="s">
        <v>627</v>
      </c>
      <c r="B412" s="79" t="s">
        <v>742</v>
      </c>
      <c r="C412" s="126" t="s">
        <v>283</v>
      </c>
      <c r="D412" s="125">
        <f>M412+O412+(K412*N412)+IF(OR(LEFT(A412)="G",LEFT(A412)="S"),Stats!$E$3-15+Bonuses!$BO$3,IF(OR(LEFT(A412)="Q",LEFT(A412)="R"),Bonuses!$BQ$3,Bonuses!$BP$3))</f>
        <v>10</v>
      </c>
      <c r="E412" s="125">
        <f t="shared" si="34"/>
        <v>1.5</v>
      </c>
      <c r="F412" s="125">
        <f t="shared" si="35"/>
        <v>0.5</v>
      </c>
      <c r="G412" s="84" t="s">
        <v>708</v>
      </c>
      <c r="H412" s="85" t="str">
        <f>1*(1+K412)&amp;" Hours C."</f>
        <v>0 Hours C.</v>
      </c>
      <c r="I412" s="565" t="str">
        <f>"En+Ft: "&amp;15+(6*K412)</f>
        <v>En+Ft: 9</v>
      </c>
      <c r="J412" s="394">
        <v>250</v>
      </c>
      <c r="K412" s="80">
        <f>IF(ISERROR(C412*1),-1,C412+IF(LEFT(A412)="T",Bonuses!$BR$3,IF(LEFT(A412)="G",Bonuses!$BS$3,IF(LEFT(A412)="Q",Bonuses!$BT$3,IF(LEFT(A412)="S",Bonuses!$BU$3,IF(LEFT(A412)="R",Bonuses!$BV$3,0))))))+P412</f>
        <v>-1</v>
      </c>
      <c r="L412" s="80">
        <v>7</v>
      </c>
      <c r="M412" s="75">
        <f>Stats!$E$3</f>
        <v>15</v>
      </c>
      <c r="N412" s="75">
        <v>5</v>
      </c>
      <c r="O412" s="380"/>
      <c r="P412" s="380"/>
      <c r="R412" s="83">
        <v>30000</v>
      </c>
    </row>
    <row r="413" spans="1:24" x14ac:dyDescent="0.2">
      <c r="A413" s="95" t="s">
        <v>629</v>
      </c>
      <c r="B413" s="79" t="s">
        <v>743</v>
      </c>
      <c r="C413" s="126" t="s">
        <v>283</v>
      </c>
      <c r="D413" s="125">
        <f>M413+O413+(K413*N413)+IF(OR(LEFT(A413)="G",LEFT(A413)="S"),Stats!$E$3-15+Bonuses!$BO$3,IF(OR(LEFT(A413)="Q",LEFT(A413)="R"),Bonuses!$BQ$3,Bonuses!$BP$3))</f>
        <v>12</v>
      </c>
      <c r="E413" s="125">
        <f t="shared" si="34"/>
        <v>1.7999999999999998</v>
      </c>
      <c r="F413" s="125">
        <f t="shared" si="35"/>
        <v>0.60000000000000009</v>
      </c>
      <c r="G413" s="84"/>
      <c r="H413" s="85" t="str">
        <f>1*(1+K413)&amp;" Hours C."</f>
        <v>0 Hours C.</v>
      </c>
      <c r="J413" s="394">
        <v>350</v>
      </c>
      <c r="K413" s="80">
        <f>IF(ISERROR(C413*1),-1,C413+IF(LEFT(A413)="T",Bonuses!$BR$3,IF(LEFT(A413)="G",Bonuses!$BS$3,IF(LEFT(A413)="Q",Bonuses!$BT$3,IF(LEFT(A413)="S",Bonuses!$BU$3,IF(LEFT(A413)="R",Bonuses!$BV$3,0))))))+P413</f>
        <v>-1</v>
      </c>
      <c r="L413" s="80">
        <v>7</v>
      </c>
      <c r="M413" s="75">
        <f>Stats!$E$3</f>
        <v>15</v>
      </c>
      <c r="N413" s="75">
        <v>3</v>
      </c>
      <c r="O413" s="380"/>
      <c r="P413" s="380"/>
      <c r="R413" s="83">
        <v>25000</v>
      </c>
    </row>
    <row r="415" spans="1:24" ht="15" customHeight="1" x14ac:dyDescent="0.2">
      <c r="A415" s="73"/>
      <c r="B415" s="73" t="s">
        <v>1101</v>
      </c>
      <c r="C415" s="74" t="s">
        <v>149</v>
      </c>
      <c r="D415" s="97" t="s">
        <v>231</v>
      </c>
      <c r="E415" s="97" t="s">
        <v>265</v>
      </c>
      <c r="F415" s="97" t="s">
        <v>266</v>
      </c>
      <c r="G415" s="74" t="s">
        <v>2</v>
      </c>
      <c r="H415" s="74" t="s">
        <v>232</v>
      </c>
      <c r="I415" s="74" t="s">
        <v>234</v>
      </c>
      <c r="J415" s="393" t="s">
        <v>233</v>
      </c>
      <c r="K415" s="75" t="s">
        <v>149</v>
      </c>
      <c r="L415" s="75" t="s">
        <v>235</v>
      </c>
      <c r="M415" s="75" t="s">
        <v>236</v>
      </c>
      <c r="N415" s="76" t="s">
        <v>269</v>
      </c>
      <c r="O415" s="3" t="s">
        <v>169</v>
      </c>
      <c r="P415" s="3" t="s">
        <v>171</v>
      </c>
      <c r="Q415" s="77" t="s">
        <v>237</v>
      </c>
      <c r="R415" s="78" t="s">
        <v>238</v>
      </c>
      <c r="T415" s="2" t="s">
        <v>1374</v>
      </c>
      <c r="U415" s="424"/>
      <c r="V415" s="424"/>
      <c r="W415" s="424"/>
      <c r="X415" s="425" t="s">
        <v>1403</v>
      </c>
    </row>
    <row r="416" spans="1:24" ht="12.75" x14ac:dyDescent="0.2">
      <c r="A416" s="95" t="s">
        <v>239</v>
      </c>
      <c r="B416" s="79" t="s">
        <v>923</v>
      </c>
      <c r="C416" s="126">
        <v>0</v>
      </c>
      <c r="D416" s="125"/>
      <c r="E416" s="125">
        <f t="shared" ref="E416:E452" si="36">D416*0.15</f>
        <v>0</v>
      </c>
      <c r="F416" s="125">
        <f>D416*0.05</f>
        <v>0</v>
      </c>
      <c r="G416" s="84" t="str">
        <f>10*(1+K416)&amp;" Miles"</f>
        <v>10 Miles</v>
      </c>
      <c r="J416" s="394">
        <v>75</v>
      </c>
      <c r="K416" s="80">
        <f>IF(ISERROR(C416*1),-1,C416+IF(LEFT(A416)="T",Bonuses!$BR$3,IF(LEFT(A416)="G",Bonuses!$BS$3,IF(LEFT(A416)="Q",Bonuses!$BT$3,IF(LEFT(A416)="S",Bonuses!$BU$3,IF(LEFT(A416)="R",Bonuses!$BV$3,0))))))+P416</f>
        <v>0</v>
      </c>
      <c r="L416" s="80">
        <v>0</v>
      </c>
      <c r="M416" s="75">
        <f>Stats!$E$3</f>
        <v>15</v>
      </c>
      <c r="N416" s="75">
        <v>5</v>
      </c>
      <c r="O416" s="380"/>
      <c r="P416" s="380"/>
      <c r="T416" s="5">
        <v>20</v>
      </c>
      <c r="U416" s="5"/>
      <c r="V416" s="5"/>
      <c r="W416" s="5"/>
      <c r="X416" s="5" t="s">
        <v>1420</v>
      </c>
    </row>
    <row r="417" spans="1:24" ht="12.75" x14ac:dyDescent="0.2">
      <c r="A417" s="95" t="s">
        <v>611</v>
      </c>
      <c r="B417" s="79" t="s">
        <v>924</v>
      </c>
      <c r="C417" s="126">
        <v>0</v>
      </c>
      <c r="D417" s="125">
        <f>M417+O417+(K417*N417)+IF(OR(LEFT(A417)="G",LEFT(A417)="S"),Stats!$E$3-15+Bonuses!$BO$3,IF(OR(LEFT(A417)="Q",LEFT(A417)="R"),Bonuses!$BQ$3,Bonuses!$BP$3))</f>
        <v>30</v>
      </c>
      <c r="E417" s="125">
        <f t="shared" si="36"/>
        <v>4.5</v>
      </c>
      <c r="F417" s="125">
        <f>D417*0.05</f>
        <v>1.5</v>
      </c>
      <c r="G417" s="84" t="str">
        <f>100*(1+K417)&amp;" Feet"</f>
        <v>100 Feet</v>
      </c>
      <c r="I417" s="94" t="str">
        <f>"Range underground: "&amp;1+(2*K417)&amp;"' "</f>
        <v xml:space="preserve">Range underground: 1' </v>
      </c>
      <c r="J417" s="394">
        <v>75</v>
      </c>
      <c r="K417" s="80">
        <f>IF(ISERROR(C417*1),-1,C417+IF(LEFT(A417)="T",Bonuses!$BR$3,IF(LEFT(A417)="G",Bonuses!$BS$3,IF(LEFT(A417)="Q",Bonuses!$BT$3,IF(LEFT(A417)="S",Bonuses!$BU$3,IF(LEFT(A417)="R",Bonuses!$BV$3,0))))))+P417</f>
        <v>0</v>
      </c>
      <c r="L417" s="80">
        <v>0</v>
      </c>
      <c r="M417" s="75">
        <f>Stats!$E$3*2</f>
        <v>30</v>
      </c>
      <c r="N417" s="75">
        <v>4</v>
      </c>
      <c r="O417" s="380"/>
      <c r="P417" s="380"/>
      <c r="T417" s="5">
        <v>15</v>
      </c>
      <c r="U417" s="5"/>
      <c r="V417" s="5"/>
      <c r="W417" s="5"/>
      <c r="X417" s="5" t="s">
        <v>1421</v>
      </c>
    </row>
    <row r="418" spans="1:24" ht="12.75" x14ac:dyDescent="0.2">
      <c r="A418" s="95" t="s">
        <v>746</v>
      </c>
      <c r="B418" s="79" t="s">
        <v>925</v>
      </c>
      <c r="C418" s="126">
        <v>0</v>
      </c>
      <c r="D418" s="125">
        <f>M418+O418+(K418*N418)+IF(OR(LEFT(A418)="G",LEFT(A418)="S"),Stats!$E$3-15+Bonuses!$BO$3,IF(OR(LEFT(A418)="Q",LEFT(A418)="R"),Bonuses!$BQ$3,Bonuses!$BP$3))</f>
        <v>0</v>
      </c>
      <c r="E418" s="125">
        <f t="shared" si="36"/>
        <v>0</v>
      </c>
      <c r="F418" s="125">
        <f>D418*0.05</f>
        <v>0</v>
      </c>
      <c r="G418" s="256"/>
      <c r="H418" s="85"/>
      <c r="I418" s="94" t="str">
        <f>"Swim +"&amp;4*K418&amp;"% mv "&amp;IF(K418&gt;10,2,1)&amp;" easier"&amp;IF(K418&gt;10," aquatic Def","")</f>
        <v>Swim +0% mv 1 easier</v>
      </c>
      <c r="J418" s="394">
        <v>100</v>
      </c>
      <c r="K418" s="80">
        <f>IF(ISERROR(C418*1),-1,C418+IF(LEFT(A418)="T",Bonuses!$BR$3,IF(LEFT(A418)="G",Bonuses!$BS$3,IF(LEFT(A418)="Q",Bonuses!$BT$3,IF(LEFT(A418)="S",Bonuses!$BU$3,IF(LEFT(A418)="R",Bonuses!$BV$3,0))))))+P418</f>
        <v>0</v>
      </c>
      <c r="L418" s="80">
        <v>0</v>
      </c>
      <c r="O418" s="380"/>
      <c r="P418" s="380"/>
      <c r="T418" s="5">
        <v>10</v>
      </c>
      <c r="U418" s="5"/>
      <c r="V418" s="5"/>
      <c r="W418" s="5"/>
      <c r="X418" s="5" t="s">
        <v>1422</v>
      </c>
    </row>
    <row r="419" spans="1:24" ht="12.75" x14ac:dyDescent="0.2">
      <c r="A419" s="95" t="s">
        <v>241</v>
      </c>
      <c r="B419" s="79" t="s">
        <v>926</v>
      </c>
      <c r="C419" s="126">
        <v>0</v>
      </c>
      <c r="D419" s="125">
        <f>M419+O419+(K419*N419)+IF(OR(LEFT(A419)="G",LEFT(A419)="S"),Stats!$E$3-15+Bonuses!$BO$3,IF(OR(LEFT(A419)="Q",LEFT(A419)="R"),Bonuses!$BQ$3,Bonuses!$BP$3))</f>
        <v>45</v>
      </c>
      <c r="E419" s="125">
        <f t="shared" si="36"/>
        <v>6.75</v>
      </c>
      <c r="F419" s="125">
        <f>D419*0.05</f>
        <v>2.25</v>
      </c>
      <c r="G419" s="84" t="s">
        <v>679</v>
      </c>
      <c r="H419" s="85" t="str">
        <f>1/2*(1+K419)&amp;" Hours"</f>
        <v>0.5 Hours</v>
      </c>
      <c r="I419" s="94" t="str">
        <f>"Float, Asc/Dsc: "&amp;5+(2*K419)&amp;"'/pulse, No Pressure"</f>
        <v>Float, Asc/Dsc: 5'/pulse, No Pressure</v>
      </c>
      <c r="J419" s="394">
        <v>100</v>
      </c>
      <c r="K419" s="80">
        <f>IF(ISERROR(C419*1),-1,C419+IF(LEFT(A419)="T",Bonuses!$BR$3,IF(LEFT(A419)="G",Bonuses!$BS$3,IF(LEFT(A419)="Q",Bonuses!$BT$3,IF(LEFT(A419)="S",Bonuses!$BU$3,IF(LEFT(A419)="R",Bonuses!$BV$3,0))))))+P419</f>
        <v>0</v>
      </c>
      <c r="L419" s="80">
        <v>1</v>
      </c>
      <c r="M419" s="75">
        <v>45</v>
      </c>
      <c r="N419" s="75">
        <v>3</v>
      </c>
      <c r="O419" s="380"/>
      <c r="P419" s="380"/>
      <c r="Q419" s="86">
        <f>MAX((MAX(Stats!$E$2,Ranking!$C$13)-15)*5,0)</f>
        <v>0</v>
      </c>
      <c r="R419" s="83">
        <v>300</v>
      </c>
      <c r="T419" s="5">
        <v>5</v>
      </c>
      <c r="U419" s="5"/>
      <c r="V419" s="5"/>
      <c r="W419" s="5"/>
      <c r="X419" s="5" t="s">
        <v>1423</v>
      </c>
    </row>
    <row r="420" spans="1:24" ht="12.75" x14ac:dyDescent="0.2">
      <c r="A420" s="95" t="s">
        <v>242</v>
      </c>
      <c r="B420" s="79" t="s">
        <v>927</v>
      </c>
      <c r="C420" s="126">
        <v>0</v>
      </c>
      <c r="D420" s="125">
        <f>M420+O420+(K420*N420)+IF(OR(LEFT(A420)="G",LEFT(A420)="S"),Stats!$E$3-15+Bonuses!$BO$3,IF(OR(LEFT(A420)="Q",LEFT(A420)="R"),Bonuses!$BQ$3,Bonuses!$BP$3))</f>
        <v>40</v>
      </c>
      <c r="E420" s="125">
        <f t="shared" si="36"/>
        <v>6</v>
      </c>
      <c r="F420" s="125">
        <f t="shared" ref="F420:F452" si="37">D420*0.05</f>
        <v>2</v>
      </c>
      <c r="G420" s="80" t="s">
        <v>679</v>
      </c>
      <c r="H420" s="85" t="str">
        <f>1*(1+K420)&amp;" Hours"</f>
        <v>1 Hours</v>
      </c>
      <c r="I420" s="94" t="str">
        <f>"Prot "&amp;MIN(0,K420*-2)&amp;"°C "&amp;1+ROUND(K420/5,0)&amp;" Less Damage"</f>
        <v>Prot 0°C 1 Less Damage</v>
      </c>
      <c r="J420" s="394">
        <v>150</v>
      </c>
      <c r="K420" s="80">
        <f>IF(ISERROR(C420*1),-1,C420+IF(LEFT(A420)="T",Bonuses!$BR$3,IF(LEFT(A420)="G",Bonuses!$BS$3,IF(LEFT(A420)="Q",Bonuses!$BT$3,IF(LEFT(A420)="S",Bonuses!$BU$3,IF(LEFT(A420)="R",Bonuses!$BV$3,0))))))+P420</f>
        <v>0</v>
      </c>
      <c r="L420" s="80">
        <v>1</v>
      </c>
      <c r="M420" s="75">
        <v>40</v>
      </c>
      <c r="N420" s="75">
        <v>3</v>
      </c>
      <c r="O420" s="380"/>
      <c r="P420" s="380"/>
      <c r="Q420" s="86">
        <f>MAX((MAX(Stats!$E$2,Ranking!$C$13)-15)*5,0)</f>
        <v>0</v>
      </c>
      <c r="R420" s="83">
        <v>300</v>
      </c>
      <c r="T420" s="5">
        <v>5</v>
      </c>
      <c r="U420" s="5"/>
      <c r="V420" s="5"/>
      <c r="W420" s="5"/>
      <c r="X420" s="5" t="s">
        <v>1424</v>
      </c>
    </row>
    <row r="421" spans="1:24" ht="12.75" x14ac:dyDescent="0.2">
      <c r="A421" s="95" t="s">
        <v>243</v>
      </c>
      <c r="B421" s="79" t="s">
        <v>928</v>
      </c>
      <c r="C421" s="126">
        <v>0</v>
      </c>
      <c r="D421" s="125">
        <f>M421+O421+(K421*N421)+IF(OR(LEFT(A421)="G",LEFT(A421)="S"),Stats!$E$3-15+Bonuses!$BO$3,IF(OR(LEFT(A421)="Q",LEFT(A421)="R"),Bonuses!$BQ$3,Bonuses!$BP$3))</f>
        <v>20</v>
      </c>
      <c r="E421" s="125">
        <f t="shared" si="36"/>
        <v>3</v>
      </c>
      <c r="F421" s="125">
        <f t="shared" si="37"/>
        <v>1</v>
      </c>
      <c r="G421" s="84" t="str">
        <f>20+(10*K421)&amp;" Feet"</f>
        <v>20 Feet</v>
      </c>
      <c r="H421" s="85" t="str">
        <f>6*(1+K421)&amp;" Mins"</f>
        <v>6 Mins</v>
      </c>
      <c r="I421" s="94" t="str">
        <f>500*(2+K421)&amp;"cu' Fog -"&amp;5+K421&amp;"% SC. 5' Vis."</f>
        <v>1000cu' Fog -5% SC. 5' Vis.</v>
      </c>
      <c r="J421" s="394">
        <v>100</v>
      </c>
      <c r="K421" s="80">
        <f>IF(ISERROR(C421*1),-1,C421+IF(LEFT(A421)="T",Bonuses!$BR$3,IF(LEFT(A421)="G",Bonuses!$BS$3,IF(LEFT(A421)="Q",Bonuses!$BT$3,IF(LEFT(A421)="S",Bonuses!$BU$3,IF(LEFT(A421)="R",Bonuses!$BV$3,0))))))+P421</f>
        <v>0</v>
      </c>
      <c r="L421" s="80">
        <v>1</v>
      </c>
      <c r="M421" s="75">
        <v>20</v>
      </c>
      <c r="N421" s="75">
        <v>3</v>
      </c>
      <c r="O421" s="380"/>
      <c r="P421" s="380"/>
      <c r="Q421" s="86">
        <f>MAX((MAX(Stats!$E$2,Ranking!$C$13)-15)*5,0)</f>
        <v>0</v>
      </c>
      <c r="R421" s="83">
        <v>300</v>
      </c>
      <c r="T421" s="5">
        <v>-5</v>
      </c>
      <c r="U421" s="5"/>
      <c r="V421" s="5"/>
      <c r="W421" s="5"/>
      <c r="X421" s="5" t="s">
        <v>1425</v>
      </c>
    </row>
    <row r="422" spans="1:24" ht="12.75" x14ac:dyDescent="0.2">
      <c r="A422" s="95" t="s">
        <v>245</v>
      </c>
      <c r="B422" s="79" t="s">
        <v>929</v>
      </c>
      <c r="C422" s="126">
        <v>0</v>
      </c>
      <c r="D422" s="125">
        <f>M422+O422+(K422*N422)+IF(OR(LEFT(A422)="G",LEFT(A422)="S"),Stats!$E$3-15+Bonuses!$BO$3,IF(OR(LEFT(A422)="Q",LEFT(A422)="R"),Bonuses!$BQ$3,Bonuses!$BP$3))</f>
        <v>30</v>
      </c>
      <c r="E422" s="125">
        <f t="shared" si="36"/>
        <v>4.5</v>
      </c>
      <c r="F422" s="125">
        <f t="shared" si="37"/>
        <v>1.5</v>
      </c>
      <c r="G422" s="84" t="str">
        <f>10+(10*K422)&amp;" Feet"</f>
        <v>10 Feet</v>
      </c>
      <c r="H422" s="85" t="str">
        <f>1/2*(1+K422)&amp;" Hours"</f>
        <v>0.5 Hours</v>
      </c>
      <c r="I422" s="94" t="str">
        <f>5+K422&amp;" mph Current"</f>
        <v>5 mph Current</v>
      </c>
      <c r="J422" s="394">
        <v>125</v>
      </c>
      <c r="K422" s="80">
        <f>IF(ISERROR(C422*1),-1,C422+IF(LEFT(A422)="T",Bonuses!$BR$3,IF(LEFT(A422)="G",Bonuses!$BS$3,IF(LEFT(A422)="Q",Bonuses!$BT$3,IF(LEFT(A422)="S",Bonuses!$BU$3,IF(LEFT(A422)="R",Bonuses!$BV$3,0))))))+P422</f>
        <v>0</v>
      </c>
      <c r="L422" s="80">
        <v>1</v>
      </c>
      <c r="M422" s="75">
        <v>30</v>
      </c>
      <c r="N422" s="75">
        <v>3</v>
      </c>
      <c r="O422" s="380"/>
      <c r="P422" s="380"/>
      <c r="Q422" s="86">
        <f>MAX((MAX(Stats!$E$2,Ranking!$C$13)-15)*5,0)</f>
        <v>0</v>
      </c>
      <c r="R422" s="83">
        <v>300</v>
      </c>
      <c r="T422" s="5">
        <v>-15</v>
      </c>
      <c r="U422" s="5"/>
      <c r="V422" s="5"/>
      <c r="W422" s="5"/>
      <c r="X422" s="5" t="s">
        <v>1426</v>
      </c>
    </row>
    <row r="423" spans="1:24" ht="12.75" x14ac:dyDescent="0.2">
      <c r="A423" s="95" t="s">
        <v>246</v>
      </c>
      <c r="B423" s="79" t="s">
        <v>930</v>
      </c>
      <c r="C423" s="126">
        <v>0</v>
      </c>
      <c r="D423" s="125">
        <f>M423+O423+(K423*N423)+IF(OR(LEFT(A423)="G",LEFT(A423)="S"),Stats!$E$3-15+Bonuses!$BO$3,IF(OR(LEFT(A423)="Q",LEFT(A423)="R"),Bonuses!$BQ$3,Bonuses!$BP$3))</f>
        <v>15</v>
      </c>
      <c r="E423" s="125">
        <f t="shared" si="36"/>
        <v>2.25</v>
      </c>
      <c r="F423" s="125">
        <f t="shared" si="37"/>
        <v>0.75</v>
      </c>
      <c r="G423" s="80" t="s">
        <v>616</v>
      </c>
      <c r="H423" s="85" t="str">
        <f>1*(1+K423)&amp;" Hours"</f>
        <v>1 Hours</v>
      </c>
      <c r="I423" s="94" t="str">
        <f>"+"&amp;1+TRUNC(K423/4,0)&amp;" Navigator "&amp;5+K423&amp;"% safer."</f>
        <v>+1 Navigator 5% safer.</v>
      </c>
      <c r="J423" s="394">
        <v>125</v>
      </c>
      <c r="K423" s="80">
        <f>IF(ISERROR(C423*1),-1,C423+IF(LEFT(A423)="T",Bonuses!$BR$3,IF(LEFT(A423)="G",Bonuses!$BS$3,IF(LEFT(A423)="Q",Bonuses!$BT$3,IF(LEFT(A423)="S",Bonuses!$BU$3,IF(LEFT(A423)="R",Bonuses!$BV$3,0))))))+P423</f>
        <v>0</v>
      </c>
      <c r="L423" s="80">
        <v>1</v>
      </c>
      <c r="M423" s="75">
        <v>15</v>
      </c>
      <c r="N423" s="75">
        <v>3</v>
      </c>
      <c r="O423" s="380"/>
      <c r="P423" s="380"/>
      <c r="Q423" s="86">
        <f>MAX((MAX(Stats!$E$2,Ranking!$C$13)-15)*5,0)</f>
        <v>0</v>
      </c>
      <c r="R423" s="83">
        <v>300</v>
      </c>
      <c r="T423" s="5"/>
      <c r="U423" s="5"/>
      <c r="V423" s="5"/>
      <c r="W423" s="5"/>
      <c r="X423" s="5" t="s">
        <v>1427</v>
      </c>
    </row>
    <row r="424" spans="1:24" ht="12.75" x14ac:dyDescent="0.2">
      <c r="A424" s="95" t="s">
        <v>247</v>
      </c>
      <c r="B424" s="79" t="s">
        <v>931</v>
      </c>
      <c r="C424" s="126">
        <v>0</v>
      </c>
      <c r="D424" s="125">
        <f>M424+O424+(K424*N424)+IF(OR(LEFT(A424)="G",LEFT(A424)="S"),Stats!$E$3-15+Bonuses!$BO$3,IF(OR(LEFT(A424)="Q",LEFT(A424)="R"),Bonuses!$BQ$3,Bonuses!$BP$3))</f>
        <v>30</v>
      </c>
      <c r="E424" s="125">
        <f t="shared" si="36"/>
        <v>4.5</v>
      </c>
      <c r="F424" s="125">
        <f t="shared" si="37"/>
        <v>1.5</v>
      </c>
      <c r="G424" s="80" t="s">
        <v>679</v>
      </c>
      <c r="H424" s="151" t="s">
        <v>240</v>
      </c>
      <c r="J424" s="394">
        <v>350</v>
      </c>
      <c r="K424" s="80">
        <f>IF(ISERROR(C424*1),-1,C424+IF(LEFT(A424)="T",Bonuses!$BR$3,IF(LEFT(A424)="G",Bonuses!$BS$3,IF(LEFT(A424)="Q",Bonuses!$BT$3,IF(LEFT(A424)="S",Bonuses!$BU$3,IF(LEFT(A424)="R",Bonuses!$BV$3,0))))))+P424</f>
        <v>0</v>
      </c>
      <c r="L424" s="80">
        <v>1</v>
      </c>
      <c r="M424" s="75">
        <v>30</v>
      </c>
      <c r="N424" s="75">
        <v>3</v>
      </c>
      <c r="O424" s="380"/>
      <c r="P424" s="380"/>
      <c r="Q424" s="86">
        <f>MAX((MAX(Stats!$E$2,Ranking!$C$13)-15)*5,0)</f>
        <v>0</v>
      </c>
      <c r="R424" s="83">
        <v>300</v>
      </c>
      <c r="T424" s="5">
        <v>-20</v>
      </c>
      <c r="U424" s="5"/>
      <c r="V424" s="5"/>
      <c r="W424" s="5"/>
      <c r="X424" s="5" t="s">
        <v>1428</v>
      </c>
    </row>
    <row r="425" spans="1:24" x14ac:dyDescent="0.2">
      <c r="A425" s="95" t="s">
        <v>248</v>
      </c>
      <c r="B425" s="79" t="s">
        <v>932</v>
      </c>
      <c r="C425" s="126">
        <v>0</v>
      </c>
      <c r="D425" s="125">
        <f>M425+O425+(K425*N425)+IF(OR(LEFT(A425)="G",LEFT(A425)="S"),Stats!$E$3-15+Bonuses!$BO$3,IF(OR(LEFT(A425)="Q",LEFT(A425)="R"),Bonuses!$BQ$3,Bonuses!$BP$3))</f>
        <v>25</v>
      </c>
      <c r="E425" s="125">
        <f t="shared" si="36"/>
        <v>3.75</v>
      </c>
      <c r="F425" s="125">
        <f t="shared" si="37"/>
        <v>1.25</v>
      </c>
      <c r="G425" s="84" t="str">
        <f>100+(50*K425)&amp;" Feet"</f>
        <v>100 Feet</v>
      </c>
      <c r="H425" s="85" t="str">
        <f>1*(1+K425)&amp;" Hours"</f>
        <v>1 Hours</v>
      </c>
      <c r="I425" s="94" t="str">
        <f>"Delay "&amp;100-(5*K425)&amp;" sec "&amp;100+(10*K425)&amp;"' radius"</f>
        <v>Delay 100 sec 100' radius</v>
      </c>
      <c r="J425" s="394">
        <v>250</v>
      </c>
      <c r="K425" s="80">
        <f>IF(ISERROR(C425*1),-1,C425+IF(LEFT(A425)="T",Bonuses!$BR$3,IF(LEFT(A425)="G",Bonuses!$BS$3,IF(LEFT(A425)="Q",Bonuses!$BT$3,IF(LEFT(A425)="S",Bonuses!$BU$3,IF(LEFT(A425)="R",Bonuses!$BV$3,0))))))+P425</f>
        <v>0</v>
      </c>
      <c r="L425" s="80">
        <v>1</v>
      </c>
      <c r="M425" s="75">
        <v>25</v>
      </c>
      <c r="N425" s="75">
        <v>3</v>
      </c>
      <c r="O425" s="380"/>
      <c r="P425" s="380"/>
      <c r="Q425" s="86">
        <f>MAX((MAX(Stats!$E$2,Ranking!$C$13)-15)*5,0)</f>
        <v>0</v>
      </c>
      <c r="R425" s="83">
        <v>300</v>
      </c>
    </row>
    <row r="426" spans="1:24" x14ac:dyDescent="0.2">
      <c r="A426" s="95" t="s">
        <v>249</v>
      </c>
      <c r="B426" s="79" t="s">
        <v>933</v>
      </c>
      <c r="C426" s="126">
        <v>0</v>
      </c>
      <c r="D426" s="125">
        <f>M426+O426+(K426*N426)+IF(OR(LEFT(A426)="G",LEFT(A426)="S"),Stats!$E$3-15+Bonuses!$BO$3,IF(OR(LEFT(A426)="Q",LEFT(A426)="R"),Bonuses!$BQ$3,Bonuses!$BP$3))</f>
        <v>20</v>
      </c>
      <c r="E426" s="125">
        <f t="shared" si="36"/>
        <v>3</v>
      </c>
      <c r="F426" s="125">
        <f t="shared" si="37"/>
        <v>1</v>
      </c>
      <c r="G426" s="84" t="str">
        <f>90+(15*K426)&amp;" Feet"</f>
        <v>90 Feet</v>
      </c>
      <c r="H426" s="85" t="str">
        <f>1*(5+K426)&amp;" Days"</f>
        <v>5 Days</v>
      </c>
      <c r="I426" s="94" t="str">
        <f>"Fix ships, "&amp;IF(K426&gt;14,"make lg Koat, ",IF(K426&gt;9,"make sm Koat, ",""))&amp;5+K426&amp;"% safer."</f>
        <v>Fix ships, 5% safer.</v>
      </c>
      <c r="J426" s="394">
        <v>200</v>
      </c>
      <c r="K426" s="80">
        <f>IF(ISERROR(C426*1),-1,C426+IF(LEFT(A426)="T",Bonuses!$BR$3,IF(LEFT(A426)="G",Bonuses!$BS$3,IF(LEFT(A426)="Q",Bonuses!$BT$3,IF(LEFT(A426)="S",Bonuses!$BU$3,IF(LEFT(A426)="R",Bonuses!$BV$3,0))))))+P426</f>
        <v>0</v>
      </c>
      <c r="L426" s="80">
        <v>1</v>
      </c>
      <c r="M426" s="75">
        <v>20</v>
      </c>
      <c r="N426" s="75">
        <v>3</v>
      </c>
      <c r="O426" s="380"/>
      <c r="P426" s="380"/>
      <c r="Q426" s="86">
        <f>MAX((MAX(Stats!$E$2,Ranking!$C$13)-15)*5,0)</f>
        <v>0</v>
      </c>
      <c r="R426" s="83">
        <v>300</v>
      </c>
    </row>
    <row r="427" spans="1:24" x14ac:dyDescent="0.2">
      <c r="A427" s="95" t="s">
        <v>250</v>
      </c>
      <c r="B427" s="79" t="s">
        <v>934</v>
      </c>
      <c r="C427" s="126">
        <v>0</v>
      </c>
      <c r="D427" s="125">
        <f>M427+O427+(K427*N427)+IF(OR(LEFT(A427)="G",LEFT(A427)="S"),Stats!$E$3-15+Bonuses!$BO$3,IF(OR(LEFT(A427)="Q",LEFT(A427)="R"),Bonuses!$BQ$3,Bonuses!$BP$3))</f>
        <v>40</v>
      </c>
      <c r="E427" s="125">
        <f t="shared" si="36"/>
        <v>6</v>
      </c>
      <c r="F427" s="125">
        <f t="shared" si="37"/>
        <v>2</v>
      </c>
      <c r="G427" s="84" t="str">
        <f>15+(15*K427)&amp;" Feet"</f>
        <v>15 Feet</v>
      </c>
      <c r="H427" s="85" t="str">
        <f>1*(1+K427)&amp;" Hours"</f>
        <v>1 Hours</v>
      </c>
      <c r="I427" s="94" t="s">
        <v>957</v>
      </c>
      <c r="J427" s="394">
        <v>150</v>
      </c>
      <c r="K427" s="80">
        <f>IF(ISERROR(C427*1),-1,C427+IF(LEFT(A427)="T",Bonuses!$BR$3,IF(LEFT(A427)="G",Bonuses!$BS$3,IF(LEFT(A427)="Q",Bonuses!$BT$3,IF(LEFT(A427)="S",Bonuses!$BU$3,IF(LEFT(A427)="R",Bonuses!$BV$3,0))))))+P427</f>
        <v>0</v>
      </c>
      <c r="L427" s="80">
        <v>1</v>
      </c>
      <c r="M427" s="75">
        <v>40</v>
      </c>
      <c r="N427" s="75">
        <v>3</v>
      </c>
      <c r="O427" s="380"/>
      <c r="P427" s="380"/>
      <c r="Q427" s="86">
        <f>MAX((MAX(Stats!$E$2,Ranking!$C$13)-15)*5,0)</f>
        <v>0</v>
      </c>
      <c r="R427" s="83">
        <v>300</v>
      </c>
    </row>
    <row r="428" spans="1:24" x14ac:dyDescent="0.2">
      <c r="A428" s="95" t="s">
        <v>794</v>
      </c>
      <c r="B428" s="79" t="s">
        <v>935</v>
      </c>
      <c r="C428" s="126">
        <v>0</v>
      </c>
      <c r="D428" s="125">
        <f>M428+O428+(K428*N428)+IF(OR(LEFT(A428)="G",LEFT(A428)="S"),Stats!$E$3-15+Bonuses!$BO$3,IF(OR(LEFT(A428)="Q",LEFT(A428)="R"),Bonuses!$BQ$3,Bonuses!$BP$3))</f>
        <v>20</v>
      </c>
      <c r="E428" s="125">
        <f t="shared" si="36"/>
        <v>3</v>
      </c>
      <c r="F428" s="125">
        <f t="shared" si="37"/>
        <v>1</v>
      </c>
      <c r="H428" s="151" t="s">
        <v>240</v>
      </c>
      <c r="I428" s="94" t="str">
        <f>1+K428&amp;" native aquatics in "&amp;30-(K428*0.5)&amp;" mins"</f>
        <v>1 native aquatics in 30 mins</v>
      </c>
      <c r="J428" s="394">
        <v>100</v>
      </c>
      <c r="K428" s="80">
        <f>IF(ISERROR(C428*1),-1,C428+IF(LEFT(A428)="T",Bonuses!$BR$3,IF(LEFT(A428)="G",Bonuses!$BS$3,IF(LEFT(A428)="Q",Bonuses!$BT$3,IF(LEFT(A428)="S",Bonuses!$BU$3,IF(LEFT(A428)="R",Bonuses!$BV$3,0))))))+P428</f>
        <v>0</v>
      </c>
      <c r="L428" s="80">
        <v>1</v>
      </c>
      <c r="M428" s="75">
        <v>20</v>
      </c>
      <c r="N428" s="75">
        <v>3</v>
      </c>
      <c r="O428" s="380"/>
      <c r="P428" s="380"/>
      <c r="Q428" s="86">
        <f>MAX((MAX(Stats!$E$2,Ranking!$C$13)-15)*5,0)</f>
        <v>0</v>
      </c>
      <c r="R428" s="83">
        <v>300</v>
      </c>
    </row>
    <row r="429" spans="1:24" x14ac:dyDescent="0.2">
      <c r="A429" s="95" t="s">
        <v>796</v>
      </c>
      <c r="B429" s="79" t="s">
        <v>936</v>
      </c>
      <c r="C429" s="126">
        <v>0</v>
      </c>
      <c r="D429" s="125">
        <f>M429+O429+(K429*N429)+IF(OR(LEFT(A429)="G",LEFT(A429)="S"),Stats!$E$3-15+Bonuses!$BO$3,IF(OR(LEFT(A429)="Q",LEFT(A429)="R"),Bonuses!$BQ$3,Bonuses!$BP$3))</f>
        <v>25</v>
      </c>
      <c r="E429" s="125">
        <f t="shared" si="36"/>
        <v>3.75</v>
      </c>
      <c r="F429" s="125">
        <f t="shared" si="37"/>
        <v>1.25</v>
      </c>
      <c r="G429" s="80" t="s">
        <v>679</v>
      </c>
      <c r="H429" s="85" t="str">
        <f>1*(1+K429)&amp;" Hours"</f>
        <v>1 Hours</v>
      </c>
      <c r="J429" s="394">
        <v>100</v>
      </c>
      <c r="K429" s="80">
        <f>IF(ISERROR(C429*1),-1,C429+IF(LEFT(A429)="T",Bonuses!$BR$3,IF(LEFT(A429)="G",Bonuses!$BS$3,IF(LEFT(A429)="Q",Bonuses!$BT$3,IF(LEFT(A429)="S",Bonuses!$BU$3,IF(LEFT(A429)="R",Bonuses!$BV$3,0))))))+P429</f>
        <v>0</v>
      </c>
      <c r="L429" s="80">
        <v>1</v>
      </c>
      <c r="M429" s="75">
        <v>25</v>
      </c>
      <c r="N429" s="75">
        <v>3</v>
      </c>
      <c r="O429" s="380"/>
      <c r="P429" s="380"/>
      <c r="Q429" s="86">
        <f>MAX((MAX(Stats!$E$2,Ranking!$C$13)-15)*5,0)</f>
        <v>0</v>
      </c>
      <c r="R429" s="83">
        <v>300</v>
      </c>
    </row>
    <row r="430" spans="1:24" x14ac:dyDescent="0.2">
      <c r="A430" s="95" t="s">
        <v>855</v>
      </c>
      <c r="B430" s="79" t="s">
        <v>937</v>
      </c>
      <c r="C430" s="126">
        <v>0</v>
      </c>
      <c r="D430" s="125">
        <f>M430+O430+(K430*N430)+IF(OR(LEFT(A430)="G",LEFT(A430)="S"),Stats!$E$3-15+Bonuses!$BO$3,IF(OR(LEFT(A430)="Q",LEFT(A430)="R"),Bonuses!$BQ$3,Bonuses!$BP$3))</f>
        <v>35</v>
      </c>
      <c r="E430" s="125">
        <f t="shared" si="36"/>
        <v>5.25</v>
      </c>
      <c r="F430" s="125">
        <f t="shared" si="37"/>
        <v>1.75</v>
      </c>
      <c r="G430" s="80" t="s">
        <v>679</v>
      </c>
      <c r="H430" s="151" t="s">
        <v>240</v>
      </c>
      <c r="I430" s="94" t="str">
        <f>1+K430&amp;" pints"</f>
        <v>1 pints</v>
      </c>
      <c r="J430" s="394">
        <v>150</v>
      </c>
      <c r="K430" s="80">
        <f>IF(ISERROR(C430*1),-1,C430+IF(LEFT(A430)="T",Bonuses!$BR$3,IF(LEFT(A430)="G",Bonuses!$BS$3,IF(LEFT(A430)="Q",Bonuses!$BT$3,IF(LEFT(A430)="S",Bonuses!$BU$3,IF(LEFT(A430)="R",Bonuses!$BV$3,0))))))+P430</f>
        <v>0</v>
      </c>
      <c r="L430" s="80">
        <v>1</v>
      </c>
      <c r="M430" s="75">
        <v>35</v>
      </c>
      <c r="N430" s="75">
        <v>3</v>
      </c>
      <c r="O430" s="380"/>
      <c r="P430" s="380"/>
      <c r="Q430" s="86">
        <f>MAX((MAX(Stats!$E$2,Ranking!$C$13)-15)*5,0)</f>
        <v>0</v>
      </c>
      <c r="R430" s="83">
        <v>300</v>
      </c>
    </row>
    <row r="431" spans="1:24" x14ac:dyDescent="0.2">
      <c r="A431" s="95" t="s">
        <v>856</v>
      </c>
      <c r="B431" s="79" t="s">
        <v>938</v>
      </c>
      <c r="C431" s="126">
        <v>0</v>
      </c>
      <c r="D431" s="125">
        <f>M431+O431+(K431*N431)+IF(OR(LEFT(A431)="G",LEFT(A431)="S"),Stats!$E$3-15+Bonuses!$BO$3,IF(OR(LEFT(A431)="Q",LEFT(A431)="R"),Bonuses!$BQ$3,Bonuses!$BP$3))</f>
        <v>30</v>
      </c>
      <c r="E431" s="125">
        <f t="shared" si="36"/>
        <v>4.5</v>
      </c>
      <c r="F431" s="125">
        <f t="shared" si="37"/>
        <v>1.5</v>
      </c>
      <c r="G431" s="80" t="s">
        <v>679</v>
      </c>
      <c r="H431" s="85" t="str">
        <f>3*(1+K431)&amp;" Hours"</f>
        <v>3 Hours</v>
      </c>
      <c r="I431" s="94" t="str">
        <f>"Objects &lt;="&amp;5*(2+K431)&amp;" lbs for "&amp;5*(1+K431)&amp;" days"</f>
        <v>Objects &lt;=10 lbs for 5 days</v>
      </c>
      <c r="J431" s="394">
        <v>150</v>
      </c>
      <c r="K431" s="80">
        <f>IF(ISERROR(C431*1),-1,C431+IF(LEFT(A431)="T",Bonuses!$BR$3,IF(LEFT(A431)="G",Bonuses!$BS$3,IF(LEFT(A431)="Q",Bonuses!$BT$3,IF(LEFT(A431)="S",Bonuses!$BU$3,IF(LEFT(A431)="R",Bonuses!$BV$3,0))))))+P431</f>
        <v>0</v>
      </c>
      <c r="L431" s="80">
        <v>1</v>
      </c>
      <c r="M431" s="75">
        <v>30</v>
      </c>
      <c r="N431" s="75">
        <v>3</v>
      </c>
      <c r="O431" s="380"/>
      <c r="P431" s="380"/>
      <c r="Q431" s="86">
        <f>MAX((MAX(Stats!$E$2,Ranking!$C$13)-15)*5,0)</f>
        <v>0</v>
      </c>
      <c r="R431" s="83">
        <v>300</v>
      </c>
    </row>
    <row r="432" spans="1:24" x14ac:dyDescent="0.2">
      <c r="A432" s="95" t="s">
        <v>857</v>
      </c>
      <c r="B432" s="79" t="s">
        <v>939</v>
      </c>
      <c r="C432" s="126">
        <v>0</v>
      </c>
      <c r="D432" s="125">
        <f>M432+O432+(K432*N432)+IF(OR(LEFT(A432)="G",LEFT(A432)="S"),Stats!$E$3-15+Bonuses!$BO$3,IF(OR(LEFT(A432)="Q",LEFT(A432)="R"),Bonuses!$BQ$3,Bonuses!$BP$3))</f>
        <v>25</v>
      </c>
      <c r="E432" s="125">
        <f t="shared" si="36"/>
        <v>3.75</v>
      </c>
      <c r="F432" s="125">
        <f t="shared" si="37"/>
        <v>1.25</v>
      </c>
      <c r="G432" s="84" t="str">
        <f>90+(90*K432)&amp;" Feet"</f>
        <v>90 Feet</v>
      </c>
      <c r="H432" s="85" t="str">
        <f>1*(1+K432)&amp;" Hours"</f>
        <v>1 Hours</v>
      </c>
      <c r="I432" s="94" t="str">
        <f>"Incr/Decr. Waves by "&amp;5+K432&amp;"'"</f>
        <v>Incr/Decr. Waves by 5'</v>
      </c>
      <c r="J432" s="394">
        <v>125</v>
      </c>
      <c r="K432" s="80">
        <f>IF(ISERROR(C432*1),-1,C432+IF(LEFT(A432)="T",Bonuses!$BR$3,IF(LEFT(A432)="G",Bonuses!$BS$3,IF(LEFT(A432)="Q",Bonuses!$BT$3,IF(LEFT(A432)="S",Bonuses!$BU$3,IF(LEFT(A432)="R",Bonuses!$BV$3,0))))))+P432</f>
        <v>0</v>
      </c>
      <c r="L432" s="80">
        <v>1</v>
      </c>
      <c r="M432" s="75">
        <v>25</v>
      </c>
      <c r="N432" s="75">
        <v>3</v>
      </c>
      <c r="O432" s="380"/>
      <c r="P432" s="380"/>
      <c r="Q432" s="86">
        <f>MAX((MAX(Stats!$E$2,Ranking!$C$13)-15)*5,0)</f>
        <v>0</v>
      </c>
      <c r="R432" s="83">
        <v>300</v>
      </c>
    </row>
    <row r="433" spans="1:18" x14ac:dyDescent="0.2">
      <c r="A433" s="96" t="s">
        <v>268</v>
      </c>
      <c r="B433" s="79" t="s">
        <v>668</v>
      </c>
      <c r="C433" s="126">
        <v>0</v>
      </c>
      <c r="D433" s="125">
        <f>M433+O433+(K433*N433)+IF(OR(LEFT(A433)="G",LEFT(A433)="S"),Stats!$E$3-15+Bonuses!$BO$3,IF(OR(LEFT(A433)="Q",LEFT(A433)="R"),Bonuses!$BQ$3,Bonuses!$BP$3))</f>
        <v>40</v>
      </c>
      <c r="E433" s="125">
        <f t="shared" si="36"/>
        <v>6</v>
      </c>
      <c r="F433" s="125">
        <f t="shared" si="37"/>
        <v>2</v>
      </c>
      <c r="G433" s="84" t="str">
        <f>25+(25*K433)&amp;" Feet"</f>
        <v>25 Feet</v>
      </c>
      <c r="H433" s="88" t="str">
        <f>"D+"&amp;5+K433&amp;" Mins"</f>
        <v>D+5 Mins</v>
      </c>
      <c r="I433" s="94" t="str">
        <f>CONCATENATE("+",30 + (K433*3)," to MR.")</f>
        <v>+30 to MR.</v>
      </c>
      <c r="J433" s="394">
        <v>100</v>
      </c>
      <c r="K433" s="80">
        <f>IF(ISERROR(C433*1),-1,C433+IF(LEFT(A433)="T",Bonuses!$BR$3,IF(LEFT(A433)="G",Bonuses!$BS$3,IF(LEFT(A433)="Q",Bonuses!$BT$3,IF(LEFT(A433)="S",Bonuses!$BU$3,IF(LEFT(A433)="R",Bonuses!$BV$3,0))))))+P433</f>
        <v>0</v>
      </c>
      <c r="L433" s="80">
        <v>1</v>
      </c>
      <c r="M433" s="75">
        <v>40</v>
      </c>
      <c r="N433" s="75">
        <v>3</v>
      </c>
      <c r="O433" s="380"/>
      <c r="P433" s="380"/>
      <c r="Q433" s="86">
        <f>MAX((MAX(Stats!$E$2,Ranking!$C$13)-15)*5,0)</f>
        <v>0</v>
      </c>
      <c r="R433" s="83">
        <v>300</v>
      </c>
    </row>
    <row r="434" spans="1:18" x14ac:dyDescent="0.2">
      <c r="A434" s="96" t="s">
        <v>268</v>
      </c>
      <c r="B434" s="79" t="s">
        <v>669</v>
      </c>
      <c r="C434" s="126">
        <v>0</v>
      </c>
      <c r="D434" s="125">
        <f>M434+O434+(K434*N434)+IF(OR(LEFT(A434)="G",LEFT(A434)="S"),Stats!$E$3-15+Bonuses!$BO$3,IF(OR(LEFT(A434)="Q",LEFT(A434)="R"),Bonuses!$BQ$3,Bonuses!$BP$3))</f>
        <v>40</v>
      </c>
      <c r="E434" s="125">
        <f t="shared" si="36"/>
        <v>6</v>
      </c>
      <c r="F434" s="125">
        <f t="shared" si="37"/>
        <v>2</v>
      </c>
      <c r="G434" s="84" t="str">
        <f>25+(25*K434)&amp;" Feet"</f>
        <v>25 Feet</v>
      </c>
      <c r="H434" s="88" t="str">
        <f>"D+"&amp;5+K434&amp;" Mins"</f>
        <v>D+5 Mins</v>
      </c>
      <c r="I434" s="94" t="str">
        <f>CONCATENATE("+",30 + (K434*3)," to MR.")</f>
        <v>+30 to MR.</v>
      </c>
      <c r="J434" s="394">
        <v>200</v>
      </c>
      <c r="K434" s="80">
        <f>IF(ISERROR(C434*1),-1,C434+IF(LEFT(A434)="T",Bonuses!$BR$3,IF(LEFT(A434)="G",Bonuses!$BS$3,IF(LEFT(A434)="Q",Bonuses!$BT$3,IF(LEFT(A434)="S",Bonuses!$BU$3,IF(LEFT(A434)="R",Bonuses!$BV$3,0))))))+P434</f>
        <v>0</v>
      </c>
      <c r="L434" s="80">
        <v>1</v>
      </c>
      <c r="M434" s="75">
        <v>40</v>
      </c>
      <c r="N434" s="75">
        <v>3</v>
      </c>
      <c r="O434" s="380"/>
      <c r="P434" s="380"/>
      <c r="Q434" s="86">
        <f>MAX((MAX(Stats!$E$2,Ranking!$C$13)-15)*5,0)</f>
        <v>0</v>
      </c>
      <c r="R434" s="83">
        <v>300</v>
      </c>
    </row>
    <row r="435" spans="1:18" x14ac:dyDescent="0.2">
      <c r="A435" s="95" t="s">
        <v>251</v>
      </c>
      <c r="B435" s="79" t="s">
        <v>940</v>
      </c>
      <c r="C435" s="126">
        <v>0</v>
      </c>
      <c r="D435" s="125">
        <f>M435+O435+(K435*N435)+IF(OR(LEFT(A435)="G",LEFT(A435)="S"),Stats!$E$3-15+Bonuses!$BO$3,IF(OR(LEFT(A435)="Q",LEFT(A435)="R"),Bonuses!$BQ$3,Bonuses!$BP$3))</f>
        <v>15</v>
      </c>
      <c r="E435" s="125">
        <f t="shared" si="36"/>
        <v>2.25</v>
      </c>
      <c r="F435" s="125">
        <f t="shared" si="37"/>
        <v>0.75</v>
      </c>
      <c r="G435" s="84" t="str">
        <f>10+(15*K435)&amp;" Feet"</f>
        <v>10 Feet</v>
      </c>
      <c r="H435" s="85" t="str">
        <f>1*(1+K435)&amp;" Hours"</f>
        <v>1 Hours</v>
      </c>
      <c r="J435" s="394">
        <v>750</v>
      </c>
      <c r="K435" s="80">
        <f>IF(ISERROR(C435*1),-1,C435+IF(LEFT(A435)="T",Bonuses!$BR$3,IF(LEFT(A435)="G",Bonuses!$BS$3,IF(LEFT(A435)="Q",Bonuses!$BT$3,IF(LEFT(A435)="S",Bonuses!$BU$3,IF(LEFT(A435)="R",Bonuses!$BV$3,0))))))+P435</f>
        <v>0</v>
      </c>
      <c r="L435" s="80">
        <v>7</v>
      </c>
      <c r="M435" s="75">
        <f>Stats!$E$3</f>
        <v>15</v>
      </c>
      <c r="N435" s="75">
        <v>4</v>
      </c>
      <c r="O435" s="380"/>
      <c r="P435" s="380"/>
      <c r="Q435" s="86">
        <f>MAX((MAX(Stats!$E$2,Ranking!$C$13)-15)*5,0)</f>
        <v>0</v>
      </c>
      <c r="R435" s="83">
        <v>300</v>
      </c>
    </row>
    <row r="436" spans="1:18" x14ac:dyDescent="0.2">
      <c r="A436" s="95" t="s">
        <v>267</v>
      </c>
      <c r="B436" s="79" t="s">
        <v>252</v>
      </c>
      <c r="C436" s="126">
        <v>0</v>
      </c>
      <c r="D436" s="125">
        <f>M436+O436+(K436*N436)+IF(OR(LEFT(A436)="G",LEFT(A436)="S"),Stats!$E$3-15+Bonuses!$BO$3,IF(OR(LEFT(A436)="Q",LEFT(A436)="R"),Bonuses!$BQ$3,Bonuses!$BP$3))</f>
        <v>30</v>
      </c>
      <c r="E436" s="125">
        <f t="shared" si="36"/>
        <v>4.5</v>
      </c>
      <c r="F436" s="125">
        <f t="shared" si="37"/>
        <v>1.5</v>
      </c>
      <c r="G436" s="81"/>
      <c r="H436" s="88" t="str">
        <f>4+(4*K436)&amp;" Hours"</f>
        <v>4 Hours</v>
      </c>
      <c r="I436" s="90" t="str">
        <f>CONCATENATE("+ ",K436," MR. +",TRUNC(K436/5)," MA.")</f>
        <v>+ 0 MR. +0 MA.</v>
      </c>
      <c r="J436" s="394">
        <v>200</v>
      </c>
      <c r="K436" s="80">
        <f>IF(ISERROR(C436*1),-1,C436+IF(LEFT(A436)="T",Bonuses!$BR$3,IF(LEFT(A436)="G",Bonuses!$BS$3,IF(LEFT(A436)="Q",Bonuses!$BT$3,IF(LEFT(A436)="S",Bonuses!$BU$3,IF(LEFT(A436)="R",Bonuses!$BV$3,0))))))+P436</f>
        <v>0</v>
      </c>
      <c r="L436" s="80">
        <v>7</v>
      </c>
      <c r="M436" s="75">
        <f>Stats!$E$3+Stats!$F$3</f>
        <v>30</v>
      </c>
      <c r="N436" s="75">
        <v>3</v>
      </c>
      <c r="O436" s="380"/>
      <c r="P436" s="380"/>
      <c r="Q436" s="86">
        <f>MAX((MAX(Stats!$E$2,Ranking!$C$13)-15)*5,0)</f>
        <v>0</v>
      </c>
      <c r="R436" s="83">
        <v>300</v>
      </c>
    </row>
    <row r="437" spans="1:18" x14ac:dyDescent="0.2">
      <c r="A437" s="95" t="s">
        <v>253</v>
      </c>
      <c r="B437" s="79" t="s">
        <v>941</v>
      </c>
      <c r="C437" s="126" t="s">
        <v>283</v>
      </c>
      <c r="D437" s="125">
        <f>M437+O437+(K437*N437)+IF(OR(LEFT(A437)="G",LEFT(A437)="S"),Stats!$E$3-15+Bonuses!$BO$3,IF(OR(LEFT(A437)="Q",LEFT(A437)="R"),Bonuses!$BQ$3,Bonuses!$BP$3))</f>
        <v>17</v>
      </c>
      <c r="E437" s="125">
        <f t="shared" si="36"/>
        <v>2.5499999999999998</v>
      </c>
      <c r="F437" s="125">
        <f t="shared" si="37"/>
        <v>0.85000000000000009</v>
      </c>
      <c r="G437" s="84" t="str">
        <f>10+(10*K437)&amp;" Feet"</f>
        <v>0 Feet</v>
      </c>
      <c r="H437" s="151" t="s">
        <v>896</v>
      </c>
      <c r="J437" s="394">
        <v>100</v>
      </c>
      <c r="K437" s="80">
        <f>IF(ISERROR(C437*1),-1,C437+IF(LEFT(A437)="T",Bonuses!$BR$3,IF(LEFT(A437)="G",Bonuses!$BS$3,IF(LEFT(A437)="Q",Bonuses!$BT$3,IF(LEFT(A437)="S",Bonuses!$BU$3,IF(LEFT(A437)="R",Bonuses!$BV$3,0))))))+P437</f>
        <v>-1</v>
      </c>
      <c r="L437" s="80">
        <v>1</v>
      </c>
      <c r="M437" s="75">
        <v>20</v>
      </c>
      <c r="N437" s="75">
        <v>3</v>
      </c>
      <c r="O437" s="380"/>
      <c r="P437" s="380"/>
      <c r="R437" s="83">
        <v>2000</v>
      </c>
    </row>
    <row r="438" spans="1:18" x14ac:dyDescent="0.2">
      <c r="A438" s="95" t="s">
        <v>254</v>
      </c>
      <c r="B438" s="79" t="s">
        <v>942</v>
      </c>
      <c r="C438" s="126" t="s">
        <v>283</v>
      </c>
      <c r="D438" s="125">
        <f>M438+O438+(K438*N438)+IF(OR(LEFT(A438)="G",LEFT(A438)="S"),Stats!$E$3-15+Bonuses!$BO$3,IF(OR(LEFT(A438)="Q",LEFT(A438)="R"),Bonuses!$BQ$3,Bonuses!$BP$3))</f>
        <v>-2</v>
      </c>
      <c r="E438" s="125">
        <f t="shared" si="36"/>
        <v>-0.3</v>
      </c>
      <c r="F438" s="125">
        <f t="shared" si="37"/>
        <v>-0.1</v>
      </c>
      <c r="G438" s="84" t="str">
        <f>60+(60*K438)&amp;" Feet"</f>
        <v>0 Feet</v>
      </c>
      <c r="H438" s="151" t="s">
        <v>240</v>
      </c>
      <c r="J438" s="394">
        <v>500</v>
      </c>
      <c r="K438" s="80">
        <f>IF(ISERROR(C438*1),-1,C438+IF(LEFT(A438)="T",Bonuses!$BR$3,IF(LEFT(A438)="G",Bonuses!$BS$3,IF(LEFT(A438)="Q",Bonuses!$BT$3,IF(LEFT(A438)="S",Bonuses!$BU$3,IF(LEFT(A438)="R",Bonuses!$BV$3,0))))))+P438</f>
        <v>-1</v>
      </c>
      <c r="L438" s="80">
        <v>1</v>
      </c>
      <c r="M438" s="75">
        <v>1</v>
      </c>
      <c r="N438" s="75">
        <v>3</v>
      </c>
      <c r="O438" s="380"/>
      <c r="P438" s="380"/>
    </row>
    <row r="439" spans="1:18" x14ac:dyDescent="0.2">
      <c r="A439" s="95" t="s">
        <v>255</v>
      </c>
      <c r="B439" s="79" t="s">
        <v>943</v>
      </c>
      <c r="C439" s="126" t="s">
        <v>283</v>
      </c>
      <c r="D439" s="125">
        <f>M439+O439+(K439*N439)+IF(OR(LEFT(A439)="G",LEFT(A439)="S"),Stats!$E$3-15+Bonuses!$BO$3,IF(OR(LEFT(A439)="Q",LEFT(A439)="R"),Bonuses!$BQ$3,Bonuses!$BP$3))</f>
        <v>-1</v>
      </c>
      <c r="E439" s="125">
        <f t="shared" si="36"/>
        <v>-0.15</v>
      </c>
      <c r="F439" s="125">
        <f t="shared" si="37"/>
        <v>-0.05</v>
      </c>
      <c r="G439" s="84" t="str">
        <f>600+(600*K439)&amp;" Feet"</f>
        <v>0 Feet</v>
      </c>
      <c r="H439" s="85" t="str">
        <f>30*(1+K439)&amp;" Secs"</f>
        <v>0 Secs</v>
      </c>
      <c r="J439" s="394">
        <v>500</v>
      </c>
      <c r="K439" s="80">
        <f>IF(ISERROR(C439*1),-1,C439+IF(LEFT(A439)="T",Bonuses!$BR$3,IF(LEFT(A439)="G",Bonuses!$BS$3,IF(LEFT(A439)="Q",Bonuses!$BT$3,IF(LEFT(A439)="S",Bonuses!$BU$3,IF(LEFT(A439)="R",Bonuses!$BV$3,0))))))+P439</f>
        <v>-1</v>
      </c>
      <c r="L439" s="80">
        <v>1</v>
      </c>
      <c r="M439" s="75">
        <v>2</v>
      </c>
      <c r="N439" s="75">
        <v>3</v>
      </c>
      <c r="O439" s="380"/>
      <c r="P439" s="380"/>
      <c r="R439" s="83">
        <v>30000</v>
      </c>
    </row>
    <row r="440" spans="1:18" x14ac:dyDescent="0.2">
      <c r="A440" s="95" t="s">
        <v>256</v>
      </c>
      <c r="B440" s="79" t="s">
        <v>944</v>
      </c>
      <c r="C440" s="126" t="s">
        <v>283</v>
      </c>
      <c r="D440" s="125">
        <f>M440+O440+(K440*N440)+IF(OR(LEFT(A440)="G",LEFT(A440)="S"),Stats!$E$3-15+Bonuses!$BO$3,IF(OR(LEFT(A440)="Q",LEFT(A440)="R"),Bonuses!$BQ$3,Bonuses!$BP$3))</f>
        <v>12</v>
      </c>
      <c r="E440" s="125">
        <f t="shared" si="36"/>
        <v>1.7999999999999998</v>
      </c>
      <c r="F440" s="125">
        <f t="shared" si="37"/>
        <v>0.60000000000000009</v>
      </c>
      <c r="G440" s="84" t="str">
        <f>20+(20*K440)&amp;" Feet"</f>
        <v>0 Feet</v>
      </c>
      <c r="H440" s="85" t="str">
        <f>30*(1+K440)&amp;" Secs"</f>
        <v>0 Secs</v>
      </c>
      <c r="J440" s="394">
        <v>350</v>
      </c>
      <c r="K440" s="80">
        <f>IF(ISERROR(C440*1),-1,C440+IF(LEFT(A440)="T",Bonuses!$BR$3,IF(LEFT(A440)="G",Bonuses!$BS$3,IF(LEFT(A440)="Q",Bonuses!$BT$3,IF(LEFT(A440)="S",Bonuses!$BU$3,IF(LEFT(A440)="R",Bonuses!$BV$3,0))))))+P440</f>
        <v>-1</v>
      </c>
      <c r="L440" s="80">
        <v>1</v>
      </c>
      <c r="M440" s="75">
        <v>15</v>
      </c>
      <c r="N440" s="75">
        <v>3</v>
      </c>
      <c r="O440" s="380"/>
      <c r="P440" s="380"/>
      <c r="R440" s="83">
        <v>15000</v>
      </c>
    </row>
    <row r="441" spans="1:18" x14ac:dyDescent="0.2">
      <c r="A441" s="95" t="s">
        <v>257</v>
      </c>
      <c r="B441" s="79" t="s">
        <v>945</v>
      </c>
      <c r="C441" s="126" t="s">
        <v>283</v>
      </c>
      <c r="D441" s="125">
        <f>M441+O441+(K441*N441)+IF(OR(LEFT(A441)="G",LEFT(A441)="S"),Stats!$E$3-15+Bonuses!$BO$3,IF(OR(LEFT(A441)="Q",LEFT(A441)="R"),Bonuses!$BQ$3,Bonuses!$BP$3))</f>
        <v>27</v>
      </c>
      <c r="E441" s="125">
        <f t="shared" si="36"/>
        <v>4.05</v>
      </c>
      <c r="F441" s="125">
        <f t="shared" si="37"/>
        <v>1.35</v>
      </c>
      <c r="G441" s="80" t="s">
        <v>849</v>
      </c>
      <c r="H441" s="151" t="s">
        <v>240</v>
      </c>
      <c r="I441" s="94" t="str">
        <f>1+K441&amp;" Quarts"</f>
        <v>0 Quarts</v>
      </c>
      <c r="J441" s="394">
        <v>350</v>
      </c>
      <c r="K441" s="80">
        <f>IF(ISERROR(C441*1),-1,C441+IF(LEFT(A441)="T",Bonuses!$BR$3,IF(LEFT(A441)="G",Bonuses!$BS$3,IF(LEFT(A441)="Q",Bonuses!$BT$3,IF(LEFT(A441)="S",Bonuses!$BU$3,IF(LEFT(A441)="R",Bonuses!$BV$3,0))))))+P441</f>
        <v>-1</v>
      </c>
      <c r="L441" s="80">
        <v>1</v>
      </c>
      <c r="M441" s="75">
        <v>30</v>
      </c>
      <c r="N441" s="75">
        <v>3</v>
      </c>
      <c r="O441" s="380"/>
      <c r="P441" s="380"/>
      <c r="R441" s="83">
        <v>2000</v>
      </c>
    </row>
    <row r="442" spans="1:18" x14ac:dyDescent="0.2">
      <c r="A442" s="95" t="s">
        <v>258</v>
      </c>
      <c r="B442" s="79" t="s">
        <v>946</v>
      </c>
      <c r="C442" s="126" t="s">
        <v>283</v>
      </c>
      <c r="D442" s="125">
        <f>M442+O442+(K442*N442)+IF(OR(LEFT(A442)="G",LEFT(A442)="S"),Stats!$E$3-15+Bonuses!$BO$3,IF(OR(LEFT(A442)="Q",LEFT(A442)="R"),Bonuses!$BQ$3,Bonuses!$BP$3))</f>
        <v>27</v>
      </c>
      <c r="E442" s="125">
        <f t="shared" si="36"/>
        <v>4.05</v>
      </c>
      <c r="F442" s="125">
        <f t="shared" si="37"/>
        <v>1.35</v>
      </c>
      <c r="G442" s="80" t="s">
        <v>679</v>
      </c>
      <c r="H442" s="151" t="s">
        <v>240</v>
      </c>
      <c r="J442" s="394">
        <v>350</v>
      </c>
      <c r="K442" s="80">
        <f>IF(ISERROR(C442*1),-1,C442+IF(LEFT(A442)="T",Bonuses!$BR$3,IF(LEFT(A442)="G",Bonuses!$BS$3,IF(LEFT(A442)="Q",Bonuses!$BT$3,IF(LEFT(A442)="S",Bonuses!$BU$3,IF(LEFT(A442)="R",Bonuses!$BV$3,0))))))+P442</f>
        <v>-1</v>
      </c>
      <c r="L442" s="80">
        <v>1</v>
      </c>
      <c r="M442" s="75">
        <v>30</v>
      </c>
      <c r="N442" s="75">
        <v>3</v>
      </c>
      <c r="O442" s="380"/>
      <c r="P442" s="380"/>
      <c r="R442" s="83">
        <v>2000</v>
      </c>
    </row>
    <row r="443" spans="1:18" x14ac:dyDescent="0.2">
      <c r="A443" s="95" t="s">
        <v>259</v>
      </c>
      <c r="B443" s="79" t="s">
        <v>947</v>
      </c>
      <c r="C443" s="126" t="s">
        <v>283</v>
      </c>
      <c r="D443" s="125">
        <f>M443+O443+(K443*N443)+IF(OR(LEFT(A443)="G",LEFT(A443)="S"),Stats!$E$3-15+Bonuses!$BO$3,IF(OR(LEFT(A443)="Q",LEFT(A443)="R"),Bonuses!$BQ$3,Bonuses!$BP$3))</f>
        <v>7</v>
      </c>
      <c r="E443" s="125">
        <f t="shared" si="36"/>
        <v>1.05</v>
      </c>
      <c r="F443" s="125">
        <f t="shared" si="37"/>
        <v>0.35000000000000003</v>
      </c>
      <c r="G443" s="84" t="str">
        <f>30+(30*K443)&amp;" Feet"</f>
        <v>0 Feet</v>
      </c>
      <c r="H443" s="85" t="str">
        <f>30*(1+K443)&amp;" Secs"</f>
        <v>0 Secs</v>
      </c>
      <c r="J443" s="394">
        <v>500</v>
      </c>
      <c r="K443" s="80">
        <f>IF(ISERROR(C443*1),-1,C443+IF(LEFT(A443)="T",Bonuses!$BR$3,IF(LEFT(A443)="G",Bonuses!$BS$3,IF(LEFT(A443)="Q",Bonuses!$BT$3,IF(LEFT(A443)="S",Bonuses!$BU$3,IF(LEFT(A443)="R",Bonuses!$BV$3,0))))))+P443</f>
        <v>-1</v>
      </c>
      <c r="L443" s="80">
        <v>1</v>
      </c>
      <c r="M443" s="75">
        <v>10</v>
      </c>
      <c r="N443" s="75">
        <v>3</v>
      </c>
      <c r="O443" s="380"/>
      <c r="P443" s="380"/>
      <c r="R443" s="83">
        <v>25000</v>
      </c>
    </row>
    <row r="444" spans="1:18" x14ac:dyDescent="0.2">
      <c r="A444" s="95" t="s">
        <v>260</v>
      </c>
      <c r="B444" s="79" t="s">
        <v>948</v>
      </c>
      <c r="C444" s="126" t="s">
        <v>283</v>
      </c>
      <c r="D444" s="125">
        <f>M444+O444+(K444*N444)+IF(OR(LEFT(A444)="G",LEFT(A444)="S"),Stats!$E$3-15+Bonuses!$BO$3,IF(OR(LEFT(A444)="Q",LEFT(A444)="R"),Bonuses!$BQ$3,Bonuses!$BP$3))</f>
        <v>17</v>
      </c>
      <c r="E444" s="125">
        <f t="shared" si="36"/>
        <v>2.5499999999999998</v>
      </c>
      <c r="F444" s="125">
        <f t="shared" si="37"/>
        <v>0.85000000000000009</v>
      </c>
      <c r="G444" s="84" t="str">
        <f>20+(20*K444)&amp;" Feet"</f>
        <v>0 Feet</v>
      </c>
      <c r="H444" s="85" t="str">
        <f>1/2*(1+K444)&amp;" Hours"</f>
        <v>0 Hours</v>
      </c>
      <c r="I444" s="94" t="str">
        <f>"Storm "&amp;5+K444&amp;"' rad. +"&amp;K444&amp;" or "&amp;ROUND(K444/2,0)&amp;"% dice rolls"</f>
        <v>Storm 4' rad. +-1 or -1% dice rolls</v>
      </c>
      <c r="J444" s="394">
        <v>300</v>
      </c>
      <c r="K444" s="80">
        <f>IF(ISERROR(C444*1),-1,C444+IF(LEFT(A444)="T",Bonuses!$BR$3,IF(LEFT(A444)="G",Bonuses!$BS$3,IF(LEFT(A444)="Q",Bonuses!$BT$3,IF(LEFT(A444)="S",Bonuses!$BU$3,IF(LEFT(A444)="R",Bonuses!$BV$3,0))))))+P444</f>
        <v>-1</v>
      </c>
      <c r="L444" s="80">
        <v>1</v>
      </c>
      <c r="M444" s="75">
        <v>20</v>
      </c>
      <c r="N444" s="75">
        <v>3</v>
      </c>
      <c r="O444" s="380"/>
      <c r="P444" s="380"/>
      <c r="R444" s="83">
        <v>12000</v>
      </c>
    </row>
    <row r="445" spans="1:18" x14ac:dyDescent="0.2">
      <c r="A445" s="95" t="s">
        <v>261</v>
      </c>
      <c r="B445" s="79" t="s">
        <v>949</v>
      </c>
      <c r="C445" s="126" t="s">
        <v>283</v>
      </c>
      <c r="D445" s="125">
        <f>M445+O445+(K445*N445)+IF(OR(LEFT(A445)="G",LEFT(A445)="S"),Stats!$E$3-15+Bonuses!$BO$3,IF(OR(LEFT(A445)="Q",LEFT(A445)="R"),Bonuses!$BQ$3,Bonuses!$BP$3))</f>
        <v>37</v>
      </c>
      <c r="E445" s="125">
        <f t="shared" si="36"/>
        <v>5.55</v>
      </c>
      <c r="F445" s="125">
        <f t="shared" si="37"/>
        <v>1.85</v>
      </c>
      <c r="G445" s="80" t="s">
        <v>958</v>
      </c>
      <c r="I445" s="94" t="str">
        <f>"Storm arrives in (Dx3)"&amp;-K445&amp;" mins."</f>
        <v>Storm arrives in (Dx3)1 mins.</v>
      </c>
      <c r="J445" s="394">
        <v>200</v>
      </c>
      <c r="K445" s="80">
        <f>IF(ISERROR(C445*1),-1,C445+IF(LEFT(A445)="T",Bonuses!$BR$3,IF(LEFT(A445)="G",Bonuses!$BS$3,IF(LEFT(A445)="Q",Bonuses!$BT$3,IF(LEFT(A445)="S",Bonuses!$BU$3,IF(LEFT(A445)="R",Bonuses!$BV$3,0))))))+P445</f>
        <v>-1</v>
      </c>
      <c r="L445" s="80">
        <v>1</v>
      </c>
      <c r="M445" s="75">
        <v>40</v>
      </c>
      <c r="N445" s="75">
        <v>3</v>
      </c>
      <c r="O445" s="380"/>
      <c r="P445" s="380"/>
      <c r="R445" s="83">
        <v>12000</v>
      </c>
    </row>
    <row r="446" spans="1:18" x14ac:dyDescent="0.2">
      <c r="A446" s="95" t="s">
        <v>262</v>
      </c>
      <c r="B446" s="79" t="s">
        <v>950</v>
      </c>
      <c r="C446" s="126" t="s">
        <v>283</v>
      </c>
      <c r="D446" s="125">
        <f>M446+O446+(K446*N446)+IF(OR(LEFT(A446)="G",LEFT(A446)="S"),Stats!$E$3-15+Bonuses!$BO$3,IF(OR(LEFT(A446)="Q",LEFT(A446)="R"),Bonuses!$BQ$3,Bonuses!$BP$3))</f>
        <v>27</v>
      </c>
      <c r="E446" s="125">
        <f t="shared" si="36"/>
        <v>4.05</v>
      </c>
      <c r="F446" s="125">
        <f t="shared" si="37"/>
        <v>1.35</v>
      </c>
      <c r="G446" s="84" t="str">
        <f>10+(10*K446)&amp;" Feet"</f>
        <v>0 Feet</v>
      </c>
      <c r="H446" s="88" t="str">
        <f>5*(1+K446)&amp;" Mins"</f>
        <v>0 Mins</v>
      </c>
      <c r="J446" s="394">
        <v>200</v>
      </c>
      <c r="K446" s="80">
        <f>IF(ISERROR(C446*1),-1,C446+IF(LEFT(A446)="T",Bonuses!$BR$3,IF(LEFT(A446)="G",Bonuses!$BS$3,IF(LEFT(A446)="Q",Bonuses!$BT$3,IF(LEFT(A446)="S",Bonuses!$BU$3,IF(LEFT(A446)="R",Bonuses!$BV$3,0))))))+P446</f>
        <v>-1</v>
      </c>
      <c r="L446" s="80">
        <v>1</v>
      </c>
      <c r="M446" s="75">
        <v>30</v>
      </c>
      <c r="N446" s="75">
        <v>3</v>
      </c>
      <c r="O446" s="380"/>
      <c r="P446" s="380"/>
      <c r="R446" s="83">
        <v>2500</v>
      </c>
    </row>
    <row r="447" spans="1:18" x14ac:dyDescent="0.2">
      <c r="A447" s="95" t="s">
        <v>263</v>
      </c>
      <c r="B447" s="79" t="s">
        <v>951</v>
      </c>
      <c r="C447" s="126" t="s">
        <v>283</v>
      </c>
      <c r="D447" s="125">
        <f>M447+O447+(K447*N447)+IF(OR(LEFT(A447)="G",LEFT(A447)="S"),Stats!$E$3-15+Bonuses!$BO$3,IF(OR(LEFT(A447)="Q",LEFT(A447)="R"),Bonuses!$BQ$3,Bonuses!$BP$3))</f>
        <v>27</v>
      </c>
      <c r="E447" s="125">
        <f t="shared" si="36"/>
        <v>4.05</v>
      </c>
      <c r="F447" s="125">
        <f t="shared" si="37"/>
        <v>1.35</v>
      </c>
      <c r="G447" s="80" t="s">
        <v>679</v>
      </c>
      <c r="H447" s="88" t="str">
        <f>2*(1+K447)&amp;" Mins"</f>
        <v>0 Mins</v>
      </c>
      <c r="I447" s="94" t="str">
        <f>"Cure [D-5]+"&amp;K447&amp;" EN/FT damage."</f>
        <v>Cure [D-5]+-1 EN/FT damage.</v>
      </c>
      <c r="J447" s="394">
        <v>400</v>
      </c>
      <c r="K447" s="80">
        <f>IF(ISERROR(C447*1),-1,C447+IF(LEFT(A447)="T",Bonuses!$BR$3,IF(LEFT(A447)="G",Bonuses!$BS$3,IF(LEFT(A447)="Q",Bonuses!$BT$3,IF(LEFT(A447)="S",Bonuses!$BU$3,IF(LEFT(A447)="R",Bonuses!$BV$3,0))))))+P447</f>
        <v>-1</v>
      </c>
      <c r="L447" s="80">
        <v>1</v>
      </c>
      <c r="M447" s="75">
        <v>30</v>
      </c>
      <c r="N447" s="75">
        <v>3</v>
      </c>
      <c r="O447" s="380"/>
      <c r="P447" s="380"/>
      <c r="R447" s="83">
        <v>5000</v>
      </c>
    </row>
    <row r="448" spans="1:18" x14ac:dyDescent="0.2">
      <c r="A448" s="95" t="s">
        <v>264</v>
      </c>
      <c r="B448" s="79" t="s">
        <v>952</v>
      </c>
      <c r="C448" s="126" t="s">
        <v>283</v>
      </c>
      <c r="D448" s="125">
        <f>M448+O448+(K448*N448)+IF(OR(LEFT(A448)="G",LEFT(A448)="S"),Stats!$E$3-15+Bonuses!$BO$3,IF(OR(LEFT(A448)="Q",LEFT(A448)="R"),Bonuses!$BQ$3,Bonuses!$BP$3))</f>
        <v>27</v>
      </c>
      <c r="E448" s="125">
        <f t="shared" si="36"/>
        <v>4.05</v>
      </c>
      <c r="F448" s="125">
        <f t="shared" si="37"/>
        <v>1.35</v>
      </c>
      <c r="G448" s="80" t="s">
        <v>679</v>
      </c>
      <c r="H448" s="88" t="str">
        <f>2*(1+K448)&amp;" Mins"</f>
        <v>0 Mins</v>
      </c>
      <c r="I448" s="94" t="str">
        <f>"[D-2]+"&amp;K448&amp;" PS for "&amp;5*(1+K448)&amp;" mins"</f>
        <v>[D-2]+-1 PS for 0 mins</v>
      </c>
      <c r="J448" s="394">
        <v>350</v>
      </c>
      <c r="K448" s="80">
        <f>IF(ISERROR(C448*1),-1,C448+IF(LEFT(A448)="T",Bonuses!$BR$3,IF(LEFT(A448)="G",Bonuses!$BS$3,IF(LEFT(A448)="Q",Bonuses!$BT$3,IF(LEFT(A448)="S",Bonuses!$BU$3,IF(LEFT(A448)="R",Bonuses!$BV$3,0))))))+P448</f>
        <v>-1</v>
      </c>
      <c r="L448" s="80">
        <v>1</v>
      </c>
      <c r="M448" s="75">
        <v>30</v>
      </c>
      <c r="N448" s="75">
        <v>3</v>
      </c>
      <c r="O448" s="380"/>
      <c r="P448" s="380"/>
      <c r="R448" s="83">
        <v>10000</v>
      </c>
    </row>
    <row r="449" spans="1:18" x14ac:dyDescent="0.2">
      <c r="A449" s="95" t="s">
        <v>700</v>
      </c>
      <c r="B449" s="79" t="s">
        <v>953</v>
      </c>
      <c r="C449" s="126" t="s">
        <v>283</v>
      </c>
      <c r="D449" s="125">
        <f>M449+O449+(K449*N449)+IF(OR(LEFT(A449)="G",LEFT(A449)="S"),Stats!$E$3-15+Bonuses!$BO$3,IF(OR(LEFT(A449)="Q",LEFT(A449)="R"),Bonuses!$BQ$3,Bonuses!$BP$3))</f>
        <v>22</v>
      </c>
      <c r="E449" s="125">
        <f t="shared" si="36"/>
        <v>3.3</v>
      </c>
      <c r="F449" s="125">
        <f t="shared" si="37"/>
        <v>1.1000000000000001</v>
      </c>
      <c r="G449" s="80" t="s">
        <v>679</v>
      </c>
      <c r="H449" s="151" t="s">
        <v>959</v>
      </c>
      <c r="I449" s="94" t="str">
        <f>"Precog Vision"&amp;IF(K449&gt;5," or Scry "&amp;5+K449*15&amp;" miles","")</f>
        <v>Precog Vision</v>
      </c>
      <c r="J449" s="394">
        <v>250</v>
      </c>
      <c r="K449" s="80">
        <f>IF(ISERROR(C449*1),-1,C449+IF(LEFT(A449)="T",Bonuses!$BR$3,IF(LEFT(A449)="G",Bonuses!$BS$3,IF(LEFT(A449)="Q",Bonuses!$BT$3,IF(LEFT(A449)="S",Bonuses!$BU$3,IF(LEFT(A449)="R",Bonuses!$BV$3,0))))))+P449</f>
        <v>-1</v>
      </c>
      <c r="L449" s="80">
        <v>1</v>
      </c>
      <c r="M449" s="75">
        <v>25</v>
      </c>
      <c r="N449" s="75">
        <v>3</v>
      </c>
      <c r="O449" s="380"/>
      <c r="P449" s="380"/>
      <c r="R449" s="83">
        <v>5000</v>
      </c>
    </row>
    <row r="450" spans="1:18" x14ac:dyDescent="0.2">
      <c r="A450" s="95" t="s">
        <v>702</v>
      </c>
      <c r="B450" s="79" t="s">
        <v>954</v>
      </c>
      <c r="C450" s="126" t="s">
        <v>283</v>
      </c>
      <c r="D450" s="125">
        <f>M450+O450+(K450*N450)+IF(OR(LEFT(A450)="G",LEFT(A450)="S"),Stats!$E$3-15+Bonuses!$BO$3,IF(OR(LEFT(A450)="Q",LEFT(A450)="R"),Bonuses!$BQ$3,Bonuses!$BP$3))</f>
        <v>2</v>
      </c>
      <c r="E450" s="125">
        <f t="shared" si="36"/>
        <v>0.3</v>
      </c>
      <c r="F450" s="125">
        <f t="shared" si="37"/>
        <v>0.1</v>
      </c>
      <c r="G450" s="84" t="str">
        <f>60+(60*K450)&amp;" Feet"</f>
        <v>0 Feet</v>
      </c>
      <c r="H450" s="85" t="str">
        <f>30*(1+K450)&amp;" Secs"</f>
        <v>0 Secs</v>
      </c>
      <c r="J450" s="394">
        <v>750</v>
      </c>
      <c r="K450" s="80">
        <f>IF(ISERROR(C450*1),-1,C450+IF(LEFT(A450)="T",Bonuses!$BR$3,IF(LEFT(A450)="G",Bonuses!$BS$3,IF(LEFT(A450)="Q",Bonuses!$BT$3,IF(LEFT(A450)="S",Bonuses!$BU$3,IF(LEFT(A450)="R",Bonuses!$BV$3,0))))))+P450</f>
        <v>-1</v>
      </c>
      <c r="L450" s="80">
        <v>1</v>
      </c>
      <c r="M450" s="75">
        <v>5</v>
      </c>
      <c r="N450" s="75">
        <v>3</v>
      </c>
      <c r="O450" s="380"/>
      <c r="P450" s="380"/>
      <c r="R450" s="83">
        <v>40000</v>
      </c>
    </row>
    <row r="451" spans="1:18" x14ac:dyDescent="0.2">
      <c r="A451" s="95" t="s">
        <v>735</v>
      </c>
      <c r="B451" s="79" t="s">
        <v>955</v>
      </c>
      <c r="C451" s="126" t="s">
        <v>283</v>
      </c>
      <c r="D451" s="125">
        <f>M451+O451+(K451*N451)+IF(OR(LEFT(A451)="G",LEFT(A451)="S"),Stats!$E$3-15+Bonuses!$BO$3,IF(OR(LEFT(A451)="Q",LEFT(A451)="R"),Bonuses!$BQ$3,Bonuses!$BP$3))</f>
        <v>17</v>
      </c>
      <c r="E451" s="125">
        <f t="shared" si="36"/>
        <v>2.5499999999999998</v>
      </c>
      <c r="F451" s="125">
        <f t="shared" si="37"/>
        <v>0.85000000000000009</v>
      </c>
      <c r="G451" s="84" t="str">
        <f>10+(10*K451)&amp;" Feet"</f>
        <v>0 Feet</v>
      </c>
      <c r="H451" s="85" t="str">
        <f>"Con "&amp;1/2*(1+K451)&amp;" Hours"</f>
        <v>Con 0 Hours</v>
      </c>
      <c r="J451" s="394">
        <v>300</v>
      </c>
      <c r="K451" s="80">
        <f>IF(ISERROR(C451*1),-1,C451+IF(LEFT(A451)="T",Bonuses!$BR$3,IF(LEFT(A451)="G",Bonuses!$BS$3,IF(LEFT(A451)="Q",Bonuses!$BT$3,IF(LEFT(A451)="S",Bonuses!$BU$3,IF(LEFT(A451)="R",Bonuses!$BV$3,0))))))+P451</f>
        <v>-1</v>
      </c>
      <c r="L451" s="80">
        <v>1</v>
      </c>
      <c r="M451" s="75">
        <v>20</v>
      </c>
      <c r="N451" s="75">
        <v>3</v>
      </c>
      <c r="O451" s="380"/>
      <c r="P451" s="380"/>
      <c r="R451" s="83">
        <v>8000</v>
      </c>
    </row>
    <row r="452" spans="1:18" x14ac:dyDescent="0.2">
      <c r="A452" s="95" t="s">
        <v>625</v>
      </c>
      <c r="B452" s="79" t="s">
        <v>956</v>
      </c>
      <c r="C452" s="126" t="s">
        <v>283</v>
      </c>
      <c r="D452" s="125">
        <f>M452+O452+(K452*N452)+IF(OR(LEFT(A452)="G",LEFT(A452)="S"),Stats!$E$3-15+Bonuses!$BO$3,IF(OR(LEFT(A452)="Q",LEFT(A452)="R"),Bonuses!$BQ$3,Bonuses!$BP$3))</f>
        <v>10</v>
      </c>
      <c r="E452" s="125">
        <f t="shared" si="36"/>
        <v>1.5</v>
      </c>
      <c r="F452" s="125">
        <f t="shared" si="37"/>
        <v>0.5</v>
      </c>
      <c r="G452" s="80" t="s">
        <v>708</v>
      </c>
      <c r="J452" s="394">
        <v>250</v>
      </c>
      <c r="K452" s="80">
        <f>IF(ISERROR(C452*1),-1,C452+IF(LEFT(A452)="T",Bonuses!$BR$3,IF(LEFT(A452)="G",Bonuses!$BS$3,IF(LEFT(A452)="Q",Bonuses!$BT$3,IF(LEFT(A452)="S",Bonuses!$BU$3,IF(LEFT(A452)="R",Bonuses!$BV$3,0))))))+P452</f>
        <v>-1</v>
      </c>
      <c r="L452" s="80">
        <v>7</v>
      </c>
      <c r="M452" s="75">
        <f>Stats!$E$3</f>
        <v>15</v>
      </c>
      <c r="N452" s="75">
        <v>5</v>
      </c>
      <c r="O452" s="380"/>
      <c r="P452" s="380"/>
      <c r="R452" s="83">
        <v>30000</v>
      </c>
    </row>
    <row r="454" spans="1:18" ht="15" customHeight="1" x14ac:dyDescent="0.2">
      <c r="A454" s="73"/>
      <c r="B454" s="73" t="s">
        <v>1055</v>
      </c>
      <c r="C454" s="74" t="s">
        <v>149</v>
      </c>
      <c r="D454" s="97" t="s">
        <v>231</v>
      </c>
      <c r="E454" s="97" t="s">
        <v>265</v>
      </c>
      <c r="F454" s="97" t="s">
        <v>266</v>
      </c>
      <c r="G454" s="74" t="s">
        <v>2</v>
      </c>
      <c r="H454" s="74" t="s">
        <v>232</v>
      </c>
      <c r="I454" s="74" t="s">
        <v>234</v>
      </c>
      <c r="J454" s="393" t="s">
        <v>233</v>
      </c>
      <c r="K454" s="75" t="s">
        <v>149</v>
      </c>
      <c r="L454" s="75" t="s">
        <v>235</v>
      </c>
      <c r="M454" s="75" t="s">
        <v>236</v>
      </c>
      <c r="N454" s="76" t="s">
        <v>269</v>
      </c>
      <c r="O454" s="3" t="s">
        <v>169</v>
      </c>
      <c r="P454" s="3" t="s">
        <v>171</v>
      </c>
      <c r="Q454" s="77" t="s">
        <v>237</v>
      </c>
      <c r="R454" s="78" t="s">
        <v>238</v>
      </c>
    </row>
    <row r="455" spans="1:18" x14ac:dyDescent="0.2">
      <c r="A455" s="95" t="s">
        <v>239</v>
      </c>
      <c r="B455" s="79" t="s">
        <v>1056</v>
      </c>
      <c r="C455" s="126">
        <v>0</v>
      </c>
      <c r="D455" s="125">
        <f>M455+O455+(K455*N455)+IF(OR(LEFT(A455)="G",LEFT(A455)="S"),Stats!$E$3-15+Bonuses!$BO$3,IF(OR(LEFT(A455)="Q",LEFT(A455)="R"),Bonuses!$BQ$3,Bonuses!$BP$3))</f>
        <v>20</v>
      </c>
      <c r="E455" s="125">
        <f t="shared" ref="E455:E495" si="38">D455*0.15</f>
        <v>3</v>
      </c>
      <c r="F455" s="125">
        <f>D455*0.05</f>
        <v>1</v>
      </c>
      <c r="G455" s="84" t="s">
        <v>631</v>
      </c>
      <c r="I455" s="94" t="str">
        <f>"Up to "&amp;20+5*K455&amp;" questions"</f>
        <v>Up to 20 questions</v>
      </c>
      <c r="J455" s="394">
        <v>150</v>
      </c>
      <c r="K455" s="80">
        <f>IF(ISERROR(C455*1),-1,C455+IF(LEFT(A455)="T",Bonuses!$BR$3,IF(LEFT(A455)="G",Bonuses!$BS$3,IF(LEFT(A455)="Q",Bonuses!$BT$3,IF(LEFT(A455)="S",Bonuses!$BU$3,IF(LEFT(A455)="R",Bonuses!$BV$3,0))))))+P455</f>
        <v>0</v>
      </c>
      <c r="L455" s="80">
        <v>0</v>
      </c>
      <c r="M455" s="75">
        <v>20</v>
      </c>
      <c r="N455" s="75">
        <v>4</v>
      </c>
      <c r="O455" s="380"/>
      <c r="P455" s="380"/>
    </row>
    <row r="456" spans="1:18" x14ac:dyDescent="0.2">
      <c r="A456" s="95" t="s">
        <v>611</v>
      </c>
      <c r="B456" s="79" t="s">
        <v>1057</v>
      </c>
      <c r="C456" s="126">
        <v>0</v>
      </c>
      <c r="D456" s="257"/>
      <c r="E456" s="257"/>
      <c r="F456" s="257"/>
      <c r="G456" s="84" t="str">
        <f>50+(10*K456)&amp;" Feet"</f>
        <v>50 Feet</v>
      </c>
      <c r="I456" s="94" t="s">
        <v>1090</v>
      </c>
      <c r="J456" s="394">
        <v>75</v>
      </c>
      <c r="K456" s="80">
        <f>IF(ISERROR(C456*1),-1,C456+IF(LEFT(A456)="T",Bonuses!$BR$3,IF(LEFT(A456)="G",Bonuses!$BS$3,IF(LEFT(A456)="Q",Bonuses!$BT$3,IF(LEFT(A456)="S",Bonuses!$BU$3,IF(LEFT(A456)="R",Bonuses!$BV$3,0))))))+P456</f>
        <v>0</v>
      </c>
      <c r="L456" s="80">
        <v>0</v>
      </c>
      <c r="O456" s="380"/>
      <c r="P456" s="380"/>
    </row>
    <row r="457" spans="1:18" x14ac:dyDescent="0.2">
      <c r="A457" s="95" t="s">
        <v>1092</v>
      </c>
      <c r="C457" s="125">
        <f>C456</f>
        <v>0</v>
      </c>
      <c r="D457" s="125">
        <f>M457+O457+(K457*N457)+IF(OR(LEFT(A457)="G",LEFT(A457)="S"),Stats!$E$3-15+Bonuses!$BO$3,IF(OR(LEFT(A457)="Q",LEFT(A457)="R"),Bonuses!$BQ$3,Bonuses!$BP$3))</f>
        <v>40</v>
      </c>
      <c r="E457" s="125">
        <f t="shared" si="38"/>
        <v>6</v>
      </c>
      <c r="F457" s="125">
        <f>D457*0.05</f>
        <v>2</v>
      </c>
      <c r="G457" s="84" t="s">
        <v>631</v>
      </c>
      <c r="I457" s="94" t="s">
        <v>1091</v>
      </c>
      <c r="K457" s="80">
        <f>IF(ISERROR(C457*1),-1,C457+IF(LEFT(A457)="T",Bonuses!$BR$3,IF(LEFT(A457)="G",Bonuses!$BS$3,IF(LEFT(A457)="Q",Bonuses!$BT$3,IF(LEFT(A457)="S",Bonuses!$BU$3,IF(LEFT(A457)="R",Bonuses!$BV$3,0))))))+P457</f>
        <v>0</v>
      </c>
      <c r="M457" s="75">
        <v>40</v>
      </c>
      <c r="N457" s="75">
        <v>3</v>
      </c>
      <c r="O457" s="380"/>
      <c r="P457" s="380"/>
    </row>
    <row r="458" spans="1:18" x14ac:dyDescent="0.2">
      <c r="A458" s="95" t="s">
        <v>746</v>
      </c>
      <c r="B458" s="79" t="s">
        <v>326</v>
      </c>
      <c r="C458" s="126">
        <v>0</v>
      </c>
      <c r="D458" s="257"/>
      <c r="E458" s="257"/>
      <c r="F458" s="257"/>
      <c r="G458" s="256"/>
      <c r="H458" s="85"/>
      <c r="I458" s="94" t="str">
        <f>1+CEILING(K458/4,1)&amp;" Off Drain +"&amp;5+3*K458&amp;"% vs Fear. -"&amp;5+K458&amp;"%Inf."</f>
        <v>1 Off Drain +5% vs Fear. -5%Inf.</v>
      </c>
      <c r="J458" s="394">
        <v>150</v>
      </c>
      <c r="K458" s="80">
        <f>IF(ISERROR(C458*1),-1,C458+IF(LEFT(A458)="T",Bonuses!$BR$3,IF(LEFT(A458)="G",Bonuses!$BS$3,IF(LEFT(A458)="Q",Bonuses!$BT$3,IF(LEFT(A458)="S",Bonuses!$BU$3,IF(LEFT(A458)="R",Bonuses!$BV$3,0))))))+P458</f>
        <v>0</v>
      </c>
      <c r="L458" s="80">
        <v>0</v>
      </c>
      <c r="O458" s="380"/>
      <c r="P458" s="380"/>
    </row>
    <row r="459" spans="1:18" x14ac:dyDescent="0.2">
      <c r="A459" s="95" t="s">
        <v>241</v>
      </c>
      <c r="B459" s="79" t="s">
        <v>1058</v>
      </c>
      <c r="C459" s="126">
        <v>0</v>
      </c>
      <c r="D459" s="125">
        <f>M459+O459+(K459*N459)+IF(OR(LEFT(A459)="G",LEFT(A459)="S"),Stats!$E$3-15+Bonuses!$BO$3,IF(OR(LEFT(A459)="Q",LEFT(A459)="R"),Bonuses!$BQ$3,Bonuses!$BP$3))</f>
        <v>30</v>
      </c>
      <c r="E459" s="125">
        <f t="shared" si="38"/>
        <v>4.5</v>
      </c>
      <c r="F459" s="125">
        <f t="shared" ref="F459:F473" si="39">D459*0.05</f>
        <v>1.5</v>
      </c>
      <c r="G459" s="84" t="s">
        <v>679</v>
      </c>
      <c r="H459" s="85" t="str">
        <f>60+(10*K459)&amp;" Mins"</f>
        <v>60 Mins</v>
      </c>
      <c r="I459" s="94" t="str">
        <f>1+K459&amp;" parts (corpse=6parts)"</f>
        <v>1 parts (corpse=6parts)</v>
      </c>
      <c r="J459" s="394">
        <v>175</v>
      </c>
      <c r="K459" s="80">
        <f>IF(ISERROR(C459*1),-1,C459+IF(LEFT(A459)="T",Bonuses!$BR$3,IF(LEFT(A459)="G",Bonuses!$BS$3,IF(LEFT(A459)="Q",Bonuses!$BT$3,IF(LEFT(A459)="S",Bonuses!$BU$3,IF(LEFT(A459)="R",Bonuses!$BV$3,0))))))+P459</f>
        <v>0</v>
      </c>
      <c r="L459" s="80">
        <v>1</v>
      </c>
      <c r="M459" s="75">
        <v>30</v>
      </c>
      <c r="N459" s="75">
        <v>3</v>
      </c>
      <c r="O459" s="380"/>
      <c r="P459" s="380"/>
      <c r="Q459" s="86">
        <f>MAX((MAX(Stats!$E$2,Ranking!$C$13)-15)*5,0)</f>
        <v>0</v>
      </c>
      <c r="R459" s="83">
        <v>300</v>
      </c>
    </row>
    <row r="460" spans="1:18" x14ac:dyDescent="0.2">
      <c r="A460" s="95" t="s">
        <v>242</v>
      </c>
      <c r="B460" s="79" t="s">
        <v>1060</v>
      </c>
      <c r="C460" s="126">
        <v>0</v>
      </c>
      <c r="D460" s="125">
        <f>M460+O460+(K460*N460)+IF(OR(LEFT(A460)="G",LEFT(A460)="S"),Stats!$E$3-15+Bonuses!$BO$3,IF(OR(LEFT(A460)="Q",LEFT(A460)="R"),Bonuses!$BQ$3,Bonuses!$BP$3))</f>
        <v>35</v>
      </c>
      <c r="E460" s="125">
        <f t="shared" si="38"/>
        <v>5.25</v>
      </c>
      <c r="F460" s="125">
        <f t="shared" si="39"/>
        <v>1.75</v>
      </c>
      <c r="G460" s="84" t="str">
        <f>15+(15*K460)&amp;" Feet"</f>
        <v>15 Feet</v>
      </c>
      <c r="H460" s="85" t="str">
        <f>1+(2*K460)&amp;" Hours"</f>
        <v>1 Hours</v>
      </c>
      <c r="I460" s="94" t="str">
        <f>"Control "&amp;1+ROUND(K460/2,0)&amp;" Lesser Undead"</f>
        <v>Control 1 Lesser Undead</v>
      </c>
      <c r="J460" s="394">
        <v>200</v>
      </c>
      <c r="K460" s="80">
        <f>IF(ISERROR(C460*1),-1,C460+IF(LEFT(A460)="T",Bonuses!$BR$3,IF(LEFT(A460)="G",Bonuses!$BS$3,IF(LEFT(A460)="Q",Bonuses!$BT$3,IF(LEFT(A460)="S",Bonuses!$BU$3,IF(LEFT(A460)="R",Bonuses!$BV$3,0))))))+P460</f>
        <v>0</v>
      </c>
      <c r="L460" s="80">
        <v>1</v>
      </c>
      <c r="M460" s="75">
        <v>35</v>
      </c>
      <c r="N460" s="75">
        <v>3</v>
      </c>
      <c r="O460" s="380"/>
      <c r="P460" s="380"/>
      <c r="Q460" s="86">
        <f>MAX((MAX(Stats!$E$2,Ranking!$C$13)-15)*5,0)</f>
        <v>0</v>
      </c>
      <c r="R460" s="83">
        <v>300</v>
      </c>
    </row>
    <row r="461" spans="1:18" x14ac:dyDescent="0.2">
      <c r="A461" s="95" t="s">
        <v>243</v>
      </c>
      <c r="B461" s="79" t="s">
        <v>1059</v>
      </c>
      <c r="C461" s="126">
        <v>0</v>
      </c>
      <c r="D461" s="125">
        <f>M461+O461+(K461*N461)+IF(OR(LEFT(A461)="G",LEFT(A461)="S"),Stats!$E$3-15+Bonuses!$BO$3,IF(OR(LEFT(A461)="Q",LEFT(A461)="R"),Bonuses!$BQ$3,Bonuses!$BP$3))</f>
        <v>50</v>
      </c>
      <c r="E461" s="125">
        <f t="shared" si="38"/>
        <v>7.5</v>
      </c>
      <c r="F461" s="125">
        <f>D461*0.05</f>
        <v>2.5</v>
      </c>
      <c r="G461" s="84" t="str">
        <f>15+(15*K461)&amp;" Feet"</f>
        <v>15 Feet</v>
      </c>
      <c r="H461" s="85" t="str">
        <f>"D-5*"&amp;1/4*MAX(1,K461)&amp;" Hrs"</f>
        <v>D-5*0.25 Hrs</v>
      </c>
      <c r="I461" s="94" t="str">
        <f>CONCATENATE(1000 + (K461*500),"'cu. ",60+(K461*2),"% Dark -",5+K461,"% Penalty")</f>
        <v>1000'cu. 60% Dark -5% Penalty</v>
      </c>
      <c r="J461" s="394">
        <v>100</v>
      </c>
      <c r="K461" s="80">
        <f>IF(ISERROR(C461*1),-1,C461+IF(LEFT(A461)="T",Bonuses!$BR$3,IF(LEFT(A461)="G",Bonuses!$BS$3,IF(LEFT(A461)="Q",Bonuses!$BT$3,IF(LEFT(A461)="S",Bonuses!$BU$3,IF(LEFT(A461)="R",Bonuses!$BV$3,0))))))+P461</f>
        <v>0</v>
      </c>
      <c r="L461" s="80">
        <v>1</v>
      </c>
      <c r="M461" s="75">
        <v>50</v>
      </c>
      <c r="N461" s="75">
        <v>3</v>
      </c>
      <c r="O461" s="380"/>
      <c r="P461" s="380"/>
      <c r="Q461" s="86">
        <f>MAX((MAX(Stats!$E$2,Ranking!$C$13)-15)*5,0)</f>
        <v>0</v>
      </c>
      <c r="R461" s="83">
        <v>300</v>
      </c>
    </row>
    <row r="462" spans="1:18" x14ac:dyDescent="0.2">
      <c r="A462" s="95" t="s">
        <v>245</v>
      </c>
      <c r="B462" s="79" t="s">
        <v>1061</v>
      </c>
      <c r="C462" s="126">
        <v>0</v>
      </c>
      <c r="D462" s="125">
        <f>M462+O462+(K462*N462)+IF(OR(LEFT(A462)="G",LEFT(A462)="S"),Stats!$E$3-15+Bonuses!$BO$3,IF(OR(LEFT(A462)="Q",LEFT(A462)="R"),Bonuses!$BQ$3,Bonuses!$BP$3))</f>
        <v>30</v>
      </c>
      <c r="E462" s="125">
        <f t="shared" si="38"/>
        <v>4.5</v>
      </c>
      <c r="F462" s="125">
        <f>D462*0.05</f>
        <v>1.5</v>
      </c>
      <c r="G462" s="84" t="str">
        <f>50+(50*K462)&amp;" Feet"</f>
        <v>50 Feet</v>
      </c>
      <c r="H462" s="85" t="s">
        <v>240</v>
      </c>
      <c r="I462" s="94" t="str">
        <f>"Precise detection within "&amp;10+10*K462&amp;"'"</f>
        <v>Precise detection within 10'</v>
      </c>
      <c r="J462" s="394">
        <v>150</v>
      </c>
      <c r="K462" s="80">
        <f>IF(ISERROR(C462*1),-1,C462+IF(LEFT(A462)="T",Bonuses!$BR$3,IF(LEFT(A462)="G",Bonuses!$BS$3,IF(LEFT(A462)="Q",Bonuses!$BT$3,IF(LEFT(A462)="S",Bonuses!$BU$3,IF(LEFT(A462)="R",Bonuses!$BV$3,0))))))+P462</f>
        <v>0</v>
      </c>
      <c r="L462" s="80">
        <v>1</v>
      </c>
      <c r="M462" s="75">
        <v>30</v>
      </c>
      <c r="N462" s="75">
        <v>3</v>
      </c>
      <c r="O462" s="380"/>
      <c r="P462" s="380"/>
      <c r="Q462" s="86">
        <f>MAX((MAX(Stats!$E$2,Ranking!$C$13)-15)*5,0)</f>
        <v>0</v>
      </c>
      <c r="R462" s="83">
        <v>300</v>
      </c>
    </row>
    <row r="463" spans="1:18" x14ac:dyDescent="0.2">
      <c r="A463" s="95" t="s">
        <v>246</v>
      </c>
      <c r="B463" s="79" t="s">
        <v>804</v>
      </c>
      <c r="C463" s="126">
        <v>0</v>
      </c>
      <c r="D463" s="125">
        <f>M463+O463+(K463*N463)+IF(OR(LEFT(A463)="G",LEFT(A463)="S"),Stats!$E$3-15+Bonuses!$BO$3,IF(OR(LEFT(A463)="Q",LEFT(A463)="R"),Bonuses!$BQ$3,Bonuses!$BP$3))</f>
        <v>25</v>
      </c>
      <c r="E463" s="125">
        <f t="shared" si="38"/>
        <v>3.75</v>
      </c>
      <c r="F463" s="125">
        <f t="shared" si="39"/>
        <v>1.25</v>
      </c>
      <c r="G463" s="84" t="str">
        <f>15+(15*K463)&amp;" Feet"</f>
        <v>15 Feet</v>
      </c>
      <c r="H463" s="85" t="s">
        <v>240</v>
      </c>
      <c r="J463" s="394">
        <v>250</v>
      </c>
      <c r="K463" s="80">
        <f>IF(ISERROR(C463*1),-1,C463+IF(LEFT(A463)="T",Bonuses!$BR$3,IF(LEFT(A463)="G",Bonuses!$BS$3,IF(LEFT(A463)="Q",Bonuses!$BT$3,IF(LEFT(A463)="S",Bonuses!$BU$3,IF(LEFT(A463)="R",Bonuses!$BV$3,0))))))+P463</f>
        <v>0</v>
      </c>
      <c r="L463" s="80">
        <v>1</v>
      </c>
      <c r="M463" s="75">
        <v>25</v>
      </c>
      <c r="N463" s="75">
        <v>3</v>
      </c>
      <c r="O463" s="380"/>
      <c r="P463" s="380"/>
      <c r="Q463" s="86">
        <f>MAX((MAX(Stats!$E$2,Ranking!$C$13)-15)*5,0)</f>
        <v>0</v>
      </c>
      <c r="R463" s="83">
        <v>300</v>
      </c>
    </row>
    <row r="464" spans="1:18" x14ac:dyDescent="0.2">
      <c r="A464" s="95" t="s">
        <v>247</v>
      </c>
      <c r="B464" s="79" t="s">
        <v>1062</v>
      </c>
      <c r="C464" s="126">
        <v>0</v>
      </c>
      <c r="D464" s="125">
        <f>M464+O464+(K464*N464)+IF(OR(LEFT(A464)="G",LEFT(A464)="S"),Stats!$E$3-15+Bonuses!$BO$3,IF(OR(LEFT(A464)="Q",LEFT(A464)="R"),Bonuses!$BQ$3,Bonuses!$BP$3))</f>
        <v>25</v>
      </c>
      <c r="E464" s="125">
        <f t="shared" si="38"/>
        <v>3.75</v>
      </c>
      <c r="F464" s="125">
        <f t="shared" si="39"/>
        <v>1.25</v>
      </c>
      <c r="G464" s="84" t="str">
        <f>15+(15*K464)&amp;" Feet"</f>
        <v>15 Feet</v>
      </c>
      <c r="H464" s="85" t="str">
        <f>10+(10*K464)&amp;" Mins"</f>
        <v>10 Mins</v>
      </c>
      <c r="I464" s="94" t="str">
        <f>IF(K464&lt;8,4,IF(K464&lt;14,3,IF(K464&lt;19,2,1)))&amp;"xWP "&amp;0.5+K464/2&amp;"' high. "&amp;20-K464&amp;"' visibility."</f>
        <v>4xWP 0.5' high. 20' visibility.</v>
      </c>
      <c r="J464" s="394">
        <v>200</v>
      </c>
      <c r="K464" s="80">
        <f>IF(ISERROR(C464*1),-1,C464+IF(LEFT(A464)="T",Bonuses!$BR$3,IF(LEFT(A464)="G",Bonuses!$BS$3,IF(LEFT(A464)="Q",Bonuses!$BT$3,IF(LEFT(A464)="S",Bonuses!$BU$3,IF(LEFT(A464)="R",Bonuses!$BV$3,0))))))+P464</f>
        <v>0</v>
      </c>
      <c r="L464" s="80">
        <v>1</v>
      </c>
      <c r="M464" s="75">
        <v>25</v>
      </c>
      <c r="N464" s="75">
        <v>3</v>
      </c>
      <c r="O464" s="380"/>
      <c r="P464" s="380"/>
      <c r="Q464" s="86">
        <f>MAX((MAX(Stats!$E$2,Ranking!$C$13)-15)*5,0)</f>
        <v>0</v>
      </c>
      <c r="R464" s="83">
        <v>300</v>
      </c>
    </row>
    <row r="465" spans="1:21" x14ac:dyDescent="0.2">
      <c r="A465" s="95" t="s">
        <v>248</v>
      </c>
      <c r="B465" s="79" t="s">
        <v>1063</v>
      </c>
      <c r="C465" s="126">
        <v>0</v>
      </c>
      <c r="D465" s="125">
        <f>M465+O465+(K465*N465)+IF(OR(LEFT(A465)="G",LEFT(A465)="S"),Stats!$E$3-15+Bonuses!$BO$3,IF(OR(LEFT(A465)="Q",LEFT(A465)="R"),Bonuses!$BQ$3,Bonuses!$BP$3))</f>
        <v>50</v>
      </c>
      <c r="E465" s="125">
        <f t="shared" si="38"/>
        <v>7.5</v>
      </c>
      <c r="F465" s="125">
        <f t="shared" si="39"/>
        <v>2.5</v>
      </c>
      <c r="G465" s="84" t="str">
        <f>15+(15*K465)&amp;" Feet"</f>
        <v>15 Feet</v>
      </c>
      <c r="H465" s="151" t="s">
        <v>240</v>
      </c>
      <c r="I465" s="94" t="str">
        <f>"Spoil "&amp;1+K465&amp;"cu' of food/drink"</f>
        <v>Spoil 1cu' of food/drink</v>
      </c>
      <c r="J465" s="394">
        <v>100</v>
      </c>
      <c r="K465" s="80">
        <f>IF(ISERROR(C465*1),-1,C465+IF(LEFT(A465)="T",Bonuses!$BR$3,IF(LEFT(A465)="G",Bonuses!$BS$3,IF(LEFT(A465)="Q",Bonuses!$BT$3,IF(LEFT(A465)="S",Bonuses!$BU$3,IF(LEFT(A465)="R",Bonuses!$BV$3,0))))))+P465</f>
        <v>0</v>
      </c>
      <c r="L465" s="80">
        <v>1</v>
      </c>
      <c r="M465" s="75">
        <v>50</v>
      </c>
      <c r="N465" s="75">
        <v>3</v>
      </c>
      <c r="O465" s="380"/>
      <c r="P465" s="380"/>
      <c r="Q465" s="86">
        <f>MAX((MAX(Stats!$E$2,Ranking!$C$13)-15)*5,0)</f>
        <v>0</v>
      </c>
      <c r="R465" s="83">
        <v>300</v>
      </c>
    </row>
    <row r="466" spans="1:21" x14ac:dyDescent="0.2">
      <c r="A466" s="95" t="s">
        <v>249</v>
      </c>
      <c r="B466" s="79" t="s">
        <v>1064</v>
      </c>
      <c r="C466" s="126">
        <v>0</v>
      </c>
      <c r="D466" s="125">
        <f>M466+O466+(K466*N466)+IF(OR(LEFT(A466)="G",LEFT(A466)="S"),Stats!$E$3-15+Bonuses!$BO$3,IF(OR(LEFT(A466)="Q",LEFT(A466)="R"),Bonuses!$BQ$3,Bonuses!$BP$3))</f>
        <v>20</v>
      </c>
      <c r="E466" s="125">
        <f t="shared" si="38"/>
        <v>3</v>
      </c>
      <c r="F466" s="125">
        <f t="shared" si="39"/>
        <v>1</v>
      </c>
      <c r="G466" s="84" t="str">
        <f>15+(15*K466)&amp;" Feet"</f>
        <v>15 Feet</v>
      </c>
      <c r="H466" s="151" t="s">
        <v>240</v>
      </c>
      <c r="I466" s="94" t="str">
        <f>"D-4+"&amp;K466&amp;" dmg to living target. Res 0"</f>
        <v>D-4+0 dmg to living target. Res 0</v>
      </c>
      <c r="J466" s="394">
        <v>250</v>
      </c>
      <c r="K466" s="80">
        <f>IF(ISERROR(C466*1),-1,C466+IF(LEFT(A466)="T",Bonuses!$BR$3,IF(LEFT(A466)="G",Bonuses!$BS$3,IF(LEFT(A466)="Q",Bonuses!$BT$3,IF(LEFT(A466)="S",Bonuses!$BU$3,IF(LEFT(A466)="R",Bonuses!$BV$3,0))))))+P466</f>
        <v>0</v>
      </c>
      <c r="L466" s="80">
        <v>1</v>
      </c>
      <c r="M466" s="75">
        <v>20</v>
      </c>
      <c r="N466" s="75">
        <v>3</v>
      </c>
      <c r="O466" s="380"/>
      <c r="P466" s="380"/>
      <c r="Q466" s="86">
        <f>MAX((MAX(Stats!$E$2,Ranking!$C$13)-15)*5,0)</f>
        <v>0</v>
      </c>
      <c r="R466" s="83">
        <v>300</v>
      </c>
    </row>
    <row r="467" spans="1:21" x14ac:dyDescent="0.2">
      <c r="A467" s="95" t="s">
        <v>250</v>
      </c>
      <c r="B467" s="79" t="s">
        <v>1065</v>
      </c>
      <c r="C467" s="126">
        <v>0</v>
      </c>
      <c r="D467" s="125">
        <f>M467+O467+(K467*N467)+IF(OR(LEFT(A467)="G",LEFT(A467)="S"),Stats!$E$3-15+Bonuses!$BO$3,IF(OR(LEFT(A467)="Q",LEFT(A467)="R"),Bonuses!$BQ$3,Bonuses!$BP$3))</f>
        <v>20</v>
      </c>
      <c r="E467" s="125">
        <f t="shared" si="38"/>
        <v>3</v>
      </c>
      <c r="F467" s="125">
        <f t="shared" si="39"/>
        <v>1</v>
      </c>
      <c r="G467" s="84" t="str">
        <f>15+(15*K467)&amp;" Feet"</f>
        <v>15 Feet</v>
      </c>
      <c r="H467" s="85" t="str">
        <f>10+(10*K467)&amp;" Secs"</f>
        <v>10 Secs</v>
      </c>
      <c r="I467" s="94" t="str">
        <f>-1*(5+K467)&amp;"% SC/BC "&amp;-1-CEILING(K467/3,1)&amp;" AG"</f>
        <v>-5% SC/BC -1 AG</v>
      </c>
      <c r="J467" s="394">
        <v>200</v>
      </c>
      <c r="K467" s="80">
        <f>IF(ISERROR(C467*1),-1,C467+IF(LEFT(A467)="T",Bonuses!$BR$3,IF(LEFT(A467)="G",Bonuses!$BS$3,IF(LEFT(A467)="Q",Bonuses!$BT$3,IF(LEFT(A467)="S",Bonuses!$BU$3,IF(LEFT(A467)="R",Bonuses!$BV$3,0))))))+P467</f>
        <v>0</v>
      </c>
      <c r="L467" s="80">
        <v>1</v>
      </c>
      <c r="M467" s="75">
        <v>20</v>
      </c>
      <c r="N467" s="75">
        <v>3</v>
      </c>
      <c r="O467" s="380"/>
      <c r="P467" s="380"/>
      <c r="Q467" s="86">
        <f>MAX((MAX(Stats!$E$2,Ranking!$C$13)-15)*5,0)</f>
        <v>0</v>
      </c>
      <c r="R467" s="83">
        <v>300</v>
      </c>
    </row>
    <row r="468" spans="1:21" x14ac:dyDescent="0.2">
      <c r="A468" s="95" t="s">
        <v>794</v>
      </c>
      <c r="B468" s="79" t="s">
        <v>1066</v>
      </c>
      <c r="C468" s="126">
        <v>0</v>
      </c>
      <c r="D468" s="125">
        <f>M468+O468+(K468*N468)+IF(OR(LEFT(A468)="G",LEFT(A468)="S"),Stats!$E$3-15+Bonuses!$BO$3,IF(OR(LEFT(A468)="Q",LEFT(A468)="R"),Bonuses!$BQ$3,Bonuses!$BP$3))</f>
        <v>25</v>
      </c>
      <c r="E468" s="125">
        <f t="shared" si="38"/>
        <v>3.75</v>
      </c>
      <c r="F468" s="125">
        <f t="shared" si="39"/>
        <v>1.25</v>
      </c>
      <c r="G468" s="84" t="str">
        <f>15+(5*K468)&amp;" Feet"</f>
        <v>15 Feet</v>
      </c>
      <c r="H468" s="85" t="str">
        <f>30+(10*K468)&amp;" Secs"</f>
        <v>30 Secs</v>
      </c>
      <c r="I468" s="94" t="str">
        <f>15+2*K468&amp;" PS "&amp;1+TRUNC(K468/2,0)&amp;" dmg."</f>
        <v>15 PS 1 dmg.</v>
      </c>
      <c r="J468" s="394">
        <v>200</v>
      </c>
      <c r="K468" s="80">
        <f>IF(ISERROR(C468*1),-1,C468+IF(LEFT(A468)="T",Bonuses!$BR$3,IF(LEFT(A468)="G",Bonuses!$BS$3,IF(LEFT(A468)="Q",Bonuses!$BT$3,IF(LEFT(A468)="S",Bonuses!$BU$3,IF(LEFT(A468)="R",Bonuses!$BV$3,0))))))+P468</f>
        <v>0</v>
      </c>
      <c r="L468" s="80">
        <v>1</v>
      </c>
      <c r="M468" s="75">
        <v>25</v>
      </c>
      <c r="N468" s="75">
        <v>3</v>
      </c>
      <c r="O468" s="380"/>
      <c r="P468" s="380"/>
      <c r="Q468" s="86">
        <f>MAX((MAX(Stats!$E$2,Ranking!$C$13)-15)*5,0)</f>
        <v>0</v>
      </c>
      <c r="R468" s="83">
        <v>300</v>
      </c>
    </row>
    <row r="469" spans="1:21" x14ac:dyDescent="0.2">
      <c r="A469" s="95" t="s">
        <v>796</v>
      </c>
      <c r="B469" s="79" t="s">
        <v>1067</v>
      </c>
      <c r="C469" s="126">
        <v>0</v>
      </c>
      <c r="D469" s="125">
        <f>M469+O469+(K469*N469)+IF(OR(LEFT(A469)="G",LEFT(A469)="S"),Stats!$E$3-15+Bonuses!$BO$3,IF(OR(LEFT(A469)="Q",LEFT(A469)="R"),Bonuses!$BQ$3,Bonuses!$BP$3))</f>
        <v>30</v>
      </c>
      <c r="E469" s="125">
        <f t="shared" si="38"/>
        <v>4.5</v>
      </c>
      <c r="F469" s="125">
        <f t="shared" si="39"/>
        <v>1.5</v>
      </c>
      <c r="G469" s="80" t="s">
        <v>679</v>
      </c>
      <c r="H469" s="151" t="s">
        <v>240</v>
      </c>
      <c r="I469" s="94" t="str">
        <f>"Warp/twist "&amp;1+K469&amp;"cu' of formerly living material"</f>
        <v>Warp/twist 1cu' of formerly living material</v>
      </c>
      <c r="J469" s="394">
        <v>175</v>
      </c>
      <c r="K469" s="80">
        <f>IF(ISERROR(C469*1),-1,C469+IF(LEFT(A469)="T",Bonuses!$BR$3,IF(LEFT(A469)="G",Bonuses!$BS$3,IF(LEFT(A469)="Q",Bonuses!$BT$3,IF(LEFT(A469)="S",Bonuses!$BU$3,IF(LEFT(A469)="R",Bonuses!$BV$3,0))))))+P469</f>
        <v>0</v>
      </c>
      <c r="L469" s="80">
        <v>1</v>
      </c>
      <c r="M469" s="75">
        <v>30</v>
      </c>
      <c r="N469" s="75">
        <v>3</v>
      </c>
      <c r="O469" s="380"/>
      <c r="P469" s="380"/>
      <c r="Q469" s="86">
        <f>MAX((MAX(Stats!$E$2,Ranking!$C$13)-15)*5,0)</f>
        <v>0</v>
      </c>
      <c r="R469" s="83">
        <v>300</v>
      </c>
    </row>
    <row r="470" spans="1:21" x14ac:dyDescent="0.2">
      <c r="A470" s="96" t="s">
        <v>268</v>
      </c>
      <c r="B470" s="79" t="s">
        <v>795</v>
      </c>
      <c r="C470" s="126">
        <v>0</v>
      </c>
      <c r="D470" s="125">
        <f>M470+O470+(K470*N470)+IF(OR(LEFT(A470)="G",LEFT(A470)="S"),Stats!$E$3-15+Bonuses!$BO$3,IF(OR(LEFT(A470)="Q",LEFT(A470)="R"),Bonuses!$BQ$3,Bonuses!$BP$3))</f>
        <v>40</v>
      </c>
      <c r="E470" s="125">
        <f t="shared" si="38"/>
        <v>6</v>
      </c>
      <c r="F470" s="125">
        <f t="shared" si="39"/>
        <v>2</v>
      </c>
      <c r="G470" s="84" t="str">
        <f>25+(25*K470)&amp;" Feet"</f>
        <v>25 Feet</v>
      </c>
      <c r="H470" s="88" t="str">
        <f>"D+"&amp;5+K470&amp;" Mins"</f>
        <v>D+5 Mins</v>
      </c>
      <c r="I470" s="94" t="str">
        <f>CONCATENATE("+",30 + (K470*3)," to MR vs Generals")</f>
        <v>+30 to MR vs Generals</v>
      </c>
      <c r="J470" s="394">
        <v>100</v>
      </c>
      <c r="K470" s="80">
        <f>IF(ISERROR(C470*1),-1,C470+IF(LEFT(A470)="T",Bonuses!$BR$3,IF(LEFT(A470)="G",Bonuses!$BS$3,IF(LEFT(A470)="Q",Bonuses!$BT$3,IF(LEFT(A470)="S",Bonuses!$BU$3,IF(LEFT(A470)="R",Bonuses!$BV$3,0))))))+P470</f>
        <v>0</v>
      </c>
      <c r="L470" s="80">
        <v>1</v>
      </c>
      <c r="M470" s="75">
        <v>40</v>
      </c>
      <c r="N470" s="75">
        <v>3</v>
      </c>
      <c r="O470" s="380"/>
      <c r="P470" s="380"/>
      <c r="Q470" s="86">
        <f>MAX((MAX(Stats!$E$2,Ranking!$C$13)-15)*5,0)</f>
        <v>0</v>
      </c>
      <c r="R470" s="83">
        <v>300</v>
      </c>
    </row>
    <row r="471" spans="1:21" x14ac:dyDescent="0.2">
      <c r="A471" s="96" t="s">
        <v>268</v>
      </c>
      <c r="B471" s="79" t="s">
        <v>797</v>
      </c>
      <c r="C471" s="126">
        <v>0</v>
      </c>
      <c r="D471" s="125">
        <f>M471+O471+(K471*N471)+IF(OR(LEFT(A471)="G",LEFT(A471)="S"),Stats!$E$3-15+Bonuses!$BO$3,IF(OR(LEFT(A471)="Q",LEFT(A471)="R"),Bonuses!$BQ$3,Bonuses!$BP$3))</f>
        <v>40</v>
      </c>
      <c r="E471" s="125">
        <f t="shared" si="38"/>
        <v>6</v>
      </c>
      <c r="F471" s="125">
        <f t="shared" si="39"/>
        <v>2</v>
      </c>
      <c r="G471" s="84" t="str">
        <f>25+(25*K471)&amp;" Feet"</f>
        <v>25 Feet</v>
      </c>
      <c r="H471" s="88" t="str">
        <f>"D+"&amp;5+K471&amp;" Mins"</f>
        <v>D+5 Mins</v>
      </c>
      <c r="I471" s="94" t="str">
        <f>CONCATENATE("+",30 + (K471*3)," to MR vs Specials")</f>
        <v>+30 to MR vs Specials</v>
      </c>
      <c r="J471" s="394">
        <v>200</v>
      </c>
      <c r="K471" s="80">
        <f>IF(ISERROR(C471*1),-1,C471+IF(LEFT(A471)="T",Bonuses!$BR$3,IF(LEFT(A471)="G",Bonuses!$BS$3,IF(LEFT(A471)="Q",Bonuses!$BT$3,IF(LEFT(A471)="S",Bonuses!$BU$3,IF(LEFT(A471)="R",Bonuses!$BV$3,0))))))+P471</f>
        <v>0</v>
      </c>
      <c r="L471" s="80">
        <v>1</v>
      </c>
      <c r="M471" s="75">
        <v>40</v>
      </c>
      <c r="N471" s="75">
        <v>3</v>
      </c>
      <c r="O471" s="380"/>
      <c r="P471" s="380"/>
      <c r="Q471" s="86">
        <f>MAX((MAX(Stats!$E$2,Ranking!$C$13)-15)*5,0)</f>
        <v>0</v>
      </c>
      <c r="R471" s="83">
        <v>300</v>
      </c>
    </row>
    <row r="472" spans="1:21" x14ac:dyDescent="0.2">
      <c r="A472" s="95" t="s">
        <v>251</v>
      </c>
      <c r="B472" s="79" t="s">
        <v>1068</v>
      </c>
      <c r="C472" s="126">
        <v>0</v>
      </c>
      <c r="D472" s="125">
        <f>M472+O472+(K472*N472)+IF(OR(LEFT(A472)="G",LEFT(A472)="S"),Stats!$E$3-15+Bonuses!$BO$3,IF(OR(LEFT(A472)="Q",LEFT(A472)="R"),Bonuses!$BQ$3,Bonuses!$BP$3))</f>
        <v>15</v>
      </c>
      <c r="E472" s="125">
        <f t="shared" si="38"/>
        <v>2.25</v>
      </c>
      <c r="F472" s="125">
        <f t="shared" si="39"/>
        <v>0.75</v>
      </c>
      <c r="I472" s="94" t="str">
        <f>3+TRUNC(K472/2,0)&amp;" questions of a friendly cryptic spirit"</f>
        <v>3 questions of a friendly cryptic spirit</v>
      </c>
      <c r="J472" s="394">
        <v>200</v>
      </c>
      <c r="K472" s="80">
        <f>IF(ISERROR(C472*1),-1,C472+IF(LEFT(A472)="T",Bonuses!$BR$3,IF(LEFT(A472)="G",Bonuses!$BS$3,IF(LEFT(A472)="Q",Bonuses!$BT$3,IF(LEFT(A472)="S",Bonuses!$BU$3,IF(LEFT(A472)="R",Bonuses!$BV$3,0))))))+P472</f>
        <v>0</v>
      </c>
      <c r="L472" s="80">
        <v>7</v>
      </c>
      <c r="M472" s="75">
        <f>Stats!$E$3</f>
        <v>15</v>
      </c>
      <c r="N472" s="75">
        <v>4</v>
      </c>
      <c r="O472" s="380"/>
      <c r="P472" s="380"/>
      <c r="Q472" s="86">
        <f>MAX((MAX(Stats!$E$2,Ranking!$C$13)-15)*5,0)</f>
        <v>0</v>
      </c>
      <c r="R472" s="83">
        <v>300</v>
      </c>
    </row>
    <row r="473" spans="1:21" x14ac:dyDescent="0.2">
      <c r="A473" s="95" t="s">
        <v>298</v>
      </c>
      <c r="B473" s="79" t="s">
        <v>1069</v>
      </c>
      <c r="C473" s="126">
        <v>0</v>
      </c>
      <c r="D473" s="125">
        <f>M473+O473+(K473*N473)+IF(OR(LEFT(A473)="G",LEFT(A473)="S"),Stats!$E$3-15+Bonuses!$BO$3,IF(OR(LEFT(A473)="Q",LEFT(A473)="R"),Bonuses!$BQ$3,Bonuses!$BP$3))</f>
        <v>15</v>
      </c>
      <c r="E473" s="125">
        <f t="shared" si="38"/>
        <v>2.25</v>
      </c>
      <c r="F473" s="125">
        <f t="shared" si="39"/>
        <v>0.75</v>
      </c>
      <c r="H473" s="151" t="s">
        <v>240</v>
      </c>
      <c r="I473" s="94" t="str">
        <f>"Summon "&amp;1+K473&amp;" Lesser Undead"</f>
        <v>Summon 1 Lesser Undead</v>
      </c>
      <c r="J473" s="394">
        <v>250</v>
      </c>
      <c r="K473" s="80">
        <f>IF(ISERROR(C473*1),-1,C473+IF(LEFT(A473)="T",Bonuses!$BR$3,IF(LEFT(A473)="G",Bonuses!$BS$3,IF(LEFT(A473)="Q",Bonuses!$BT$3,IF(LEFT(A473)="S",Bonuses!$BU$3,IF(LEFT(A473)="R",Bonuses!$BV$3,0))))))+P473</f>
        <v>0</v>
      </c>
      <c r="L473" s="80">
        <v>7</v>
      </c>
      <c r="M473" s="75">
        <f>Stats!$E$3</f>
        <v>15</v>
      </c>
      <c r="N473" s="75">
        <v>3</v>
      </c>
      <c r="O473" s="380"/>
      <c r="P473" s="380"/>
      <c r="Q473" s="86">
        <f>MAX((MAX(Stats!$E$2,Ranking!$C$13)-15)*5,0)</f>
        <v>0</v>
      </c>
      <c r="R473" s="83">
        <v>300</v>
      </c>
    </row>
    <row r="474" spans="1:21" x14ac:dyDescent="0.2">
      <c r="A474" s="95" t="s">
        <v>994</v>
      </c>
      <c r="B474" s="79" t="s">
        <v>252</v>
      </c>
      <c r="C474" s="126">
        <v>0</v>
      </c>
      <c r="D474" s="125">
        <f>M474+O474+(K474*N474)+IF(OR(LEFT(A474)="G",LEFT(A474)="S"),Stats!$E$3-15+Bonuses!$BO$3,IF(OR(LEFT(A474)="Q",LEFT(A474)="R"),Bonuses!$BQ$3,Bonuses!$BP$3))</f>
        <v>30</v>
      </c>
      <c r="E474" s="125">
        <f>D474*0.15</f>
        <v>4.5</v>
      </c>
      <c r="F474" s="125">
        <f>D474*0.05</f>
        <v>1.5</v>
      </c>
      <c r="G474" s="81"/>
      <c r="H474" s="88" t="str">
        <f>4+(4*K474)&amp;" Hours"</f>
        <v>4 Hours</v>
      </c>
      <c r="I474" s="90" t="str">
        <f>CONCATENATE("+ ",K474," MR. +",TRUNC(K474/5)," MA.")</f>
        <v>+ 0 MR. +0 MA.</v>
      </c>
      <c r="J474" s="394">
        <v>200</v>
      </c>
      <c r="K474" s="80">
        <f>IF(ISERROR(C474*1),-1,C474+IF(LEFT(A474)="T",Bonuses!$BR$3,IF(LEFT(A474)="G",Bonuses!$BS$3,IF(LEFT(A474)="Q",Bonuses!$BT$3,IF(LEFT(A474)="S",Bonuses!$BU$3,IF(LEFT(A474)="R",Bonuses!$BV$3,0))))))+P474</f>
        <v>0</v>
      </c>
      <c r="L474" s="80">
        <v>7</v>
      </c>
      <c r="M474" s="75">
        <f>Stats!$E$3+Stats!$F$3</f>
        <v>30</v>
      </c>
      <c r="N474" s="75">
        <v>3</v>
      </c>
      <c r="O474" s="380"/>
      <c r="P474" s="380"/>
      <c r="Q474" s="86">
        <f>MAX((MAX(Stats!$E$2,Ranking!$C$13)-15)*5,0)</f>
        <v>0</v>
      </c>
      <c r="R474" s="83">
        <v>300</v>
      </c>
    </row>
    <row r="475" spans="1:21" x14ac:dyDescent="0.2">
      <c r="A475" s="95" t="s">
        <v>253</v>
      </c>
      <c r="B475" s="79" t="s">
        <v>1070</v>
      </c>
      <c r="C475" s="126" t="s">
        <v>283</v>
      </c>
      <c r="D475" s="125">
        <f>M475+O475+(K475*N475)+IF(OR(LEFT(A475)="G",LEFT(A475)="S"),Stats!$E$3-15+Bonuses!$BO$3,IF(OR(LEFT(A475)="Q",LEFT(A475)="R"),Bonuses!$BQ$3,Bonuses!$BP$3))</f>
        <v>7</v>
      </c>
      <c r="E475" s="125">
        <f t="shared" si="38"/>
        <v>1.05</v>
      </c>
      <c r="F475" s="125">
        <f t="shared" ref="F475:F495" si="40">D475*0.05</f>
        <v>0.35000000000000003</v>
      </c>
      <c r="G475" s="84" t="str">
        <f>30+(15*K475)&amp;" Feet"</f>
        <v>15 Feet</v>
      </c>
      <c r="H475" s="85" t="str">
        <f>10+(10*K475)&amp;" Secs"</f>
        <v>0 Secs</v>
      </c>
      <c r="J475" s="394">
        <v>350</v>
      </c>
      <c r="K475" s="80">
        <f>IF(ISERROR(C475*1),-1,C475+IF(LEFT(A475)="T",Bonuses!$BR$3,IF(LEFT(A475)="G",Bonuses!$BS$3,IF(LEFT(A475)="Q",Bonuses!$BT$3,IF(LEFT(A475)="S",Bonuses!$BU$3,IF(LEFT(A475)="R",Bonuses!$BV$3,0))))))+P475</f>
        <v>-1</v>
      </c>
      <c r="L475" s="80">
        <v>1</v>
      </c>
      <c r="M475" s="75">
        <v>10</v>
      </c>
      <c r="N475" s="75">
        <v>3</v>
      </c>
      <c r="O475" s="380"/>
      <c r="P475" s="380"/>
      <c r="R475" s="310">
        <v>25000</v>
      </c>
      <c r="U475" s="310"/>
    </row>
    <row r="476" spans="1:21" x14ac:dyDescent="0.2">
      <c r="A476" s="95" t="s">
        <v>254</v>
      </c>
      <c r="B476" s="79" t="s">
        <v>1071</v>
      </c>
      <c r="C476" s="126" t="s">
        <v>283</v>
      </c>
      <c r="D476" s="125">
        <f>M476+O476+(K476*N476)+IF(OR(LEFT(A476)="G",LEFT(A476)="S"),Stats!$E$3-15+Bonuses!$BO$3,IF(OR(LEFT(A476)="Q",LEFT(A476)="R"),Bonuses!$BQ$3,Bonuses!$BP$3))</f>
        <v>17</v>
      </c>
      <c r="E476" s="125">
        <f t="shared" si="38"/>
        <v>2.5499999999999998</v>
      </c>
      <c r="F476" s="125">
        <f t="shared" si="40"/>
        <v>0.85000000000000009</v>
      </c>
      <c r="G476" s="84" t="str">
        <f>30+(15*K476)&amp;" Feet"</f>
        <v>15 Feet</v>
      </c>
      <c r="H476" s="85" t="str">
        <f>1+(1*K476)&amp;" Hours"</f>
        <v>0 Hours</v>
      </c>
      <c r="I476" s="94" t="str">
        <f>3+K476&amp;" human sized corpses"</f>
        <v>2 human sized corpses</v>
      </c>
      <c r="J476" s="394">
        <v>250</v>
      </c>
      <c r="K476" s="80">
        <f>IF(ISERROR(C476*1),-1,C476+IF(LEFT(A476)="T",Bonuses!$BR$3,IF(LEFT(A476)="G",Bonuses!$BS$3,IF(LEFT(A476)="Q",Bonuses!$BT$3,IF(LEFT(A476)="S",Bonuses!$BU$3,IF(LEFT(A476)="R",Bonuses!$BV$3,0))))))+P476</f>
        <v>-1</v>
      </c>
      <c r="L476" s="80">
        <v>1</v>
      </c>
      <c r="M476" s="75">
        <v>20</v>
      </c>
      <c r="N476" s="75">
        <v>3</v>
      </c>
      <c r="O476" s="380"/>
      <c r="P476" s="380"/>
      <c r="R476" s="310">
        <v>1000</v>
      </c>
      <c r="U476" s="310"/>
    </row>
    <row r="477" spans="1:21" x14ac:dyDescent="0.2">
      <c r="A477" s="95" t="s">
        <v>255</v>
      </c>
      <c r="B477" s="79" t="s">
        <v>1072</v>
      </c>
      <c r="C477" s="126" t="s">
        <v>283</v>
      </c>
      <c r="D477" s="125">
        <f>M477+O477+(K477*N477)+IF(OR(LEFT(A477)="G",LEFT(A477)="S"),Stats!$E$3-15+Bonuses!$BO$3,IF(OR(LEFT(A477)="Q",LEFT(A477)="R"),Bonuses!$BQ$3,Bonuses!$BP$3))</f>
        <v>17</v>
      </c>
      <c r="E477" s="125">
        <f t="shared" si="38"/>
        <v>2.5499999999999998</v>
      </c>
      <c r="F477" s="125">
        <f t="shared" si="40"/>
        <v>0.85000000000000009</v>
      </c>
      <c r="G477" s="84" t="str">
        <f>15+(15*K477)&amp;" Feet"</f>
        <v>0 Feet</v>
      </c>
      <c r="H477" s="85" t="str">
        <f>0.5+(0.5*K477)&amp;" Hours"</f>
        <v>0 Hours</v>
      </c>
      <c r="I477" s="94" t="s">
        <v>1093</v>
      </c>
      <c r="J477" s="394">
        <v>300</v>
      </c>
      <c r="K477" s="80">
        <f>IF(ISERROR(C477*1),-1,C477+IF(LEFT(A477)="T",Bonuses!$BR$3,IF(LEFT(A477)="G",Bonuses!$BS$3,IF(LEFT(A477)="Q",Bonuses!$BT$3,IF(LEFT(A477)="S",Bonuses!$BU$3,IF(LEFT(A477)="R",Bonuses!$BV$3,0))))))+P477</f>
        <v>-1</v>
      </c>
      <c r="L477" s="80">
        <v>1</v>
      </c>
      <c r="M477" s="75">
        <v>20</v>
      </c>
      <c r="N477" s="75">
        <v>3</v>
      </c>
      <c r="O477" s="380"/>
      <c r="P477" s="380"/>
      <c r="R477" s="310">
        <v>15000</v>
      </c>
      <c r="U477" s="310"/>
    </row>
    <row r="478" spans="1:21" x14ac:dyDescent="0.2">
      <c r="A478" s="95" t="s">
        <v>256</v>
      </c>
      <c r="B478" s="79" t="s">
        <v>1073</v>
      </c>
      <c r="C478" s="126" t="s">
        <v>283</v>
      </c>
      <c r="D478" s="125">
        <f>M478+O478+(K478*N478)+IF(OR(LEFT(A478)="G",LEFT(A478)="S"),Stats!$E$3-15+Bonuses!$BO$3,IF(OR(LEFT(A478)="Q",LEFT(A478)="R"),Bonuses!$BQ$3,Bonuses!$BP$3))</f>
        <v>12</v>
      </c>
      <c r="E478" s="125">
        <f t="shared" si="38"/>
        <v>1.7999999999999998</v>
      </c>
      <c r="F478" s="125">
        <f t="shared" si="40"/>
        <v>0.60000000000000009</v>
      </c>
      <c r="G478" s="84" t="str">
        <f>5+(5*K478)&amp;" Feet"</f>
        <v>0 Feet</v>
      </c>
      <c r="H478" s="85" t="str">
        <f>0.25+(0.25*K478)&amp;" Hours"</f>
        <v>0 Hours</v>
      </c>
      <c r="J478" s="394">
        <v>250</v>
      </c>
      <c r="K478" s="80">
        <f>IF(ISERROR(C478*1),-1,C478+IF(LEFT(A478)="T",Bonuses!$BR$3,IF(LEFT(A478)="G",Bonuses!$BS$3,IF(LEFT(A478)="Q",Bonuses!$BT$3,IF(LEFT(A478)="S",Bonuses!$BU$3,IF(LEFT(A478)="R",Bonuses!$BV$3,0))))))+P478</f>
        <v>-1</v>
      </c>
      <c r="L478" s="80">
        <v>1</v>
      </c>
      <c r="M478" s="75">
        <v>15</v>
      </c>
      <c r="N478" s="75">
        <v>3</v>
      </c>
      <c r="O478" s="380"/>
      <c r="P478" s="380"/>
      <c r="R478" s="310">
        <v>3000</v>
      </c>
      <c r="U478" s="310"/>
    </row>
    <row r="479" spans="1:21" x14ac:dyDescent="0.2">
      <c r="A479" s="95" t="s">
        <v>257</v>
      </c>
      <c r="B479" s="79" t="s">
        <v>1074</v>
      </c>
      <c r="C479" s="126" t="s">
        <v>283</v>
      </c>
      <c r="D479" s="125">
        <f>M479+O479+(K479*N479)+IF(OR(LEFT(A479)="G",LEFT(A479)="S"),Stats!$E$3-15+Bonuses!$BO$3,IF(OR(LEFT(A479)="Q",LEFT(A479)="R"),Bonuses!$BQ$3,Bonuses!$BP$3))</f>
        <v>57</v>
      </c>
      <c r="E479" s="125">
        <f t="shared" si="38"/>
        <v>8.5499999999999989</v>
      </c>
      <c r="F479" s="125">
        <f t="shared" si="40"/>
        <v>2.85</v>
      </c>
      <c r="G479" s="84" t="str">
        <f>15+(15*K479)&amp;" Feet"</f>
        <v>0 Feet</v>
      </c>
      <c r="H479" s="85" t="str">
        <f>1+(1*K479)&amp;" Hours"</f>
        <v>0 Hours</v>
      </c>
      <c r="I479" s="94" t="str">
        <f>50+10*K479&amp;"' monochromatic vision"</f>
        <v>40' monochromatic vision</v>
      </c>
      <c r="J479" s="394">
        <v>100</v>
      </c>
      <c r="K479" s="80">
        <f>IF(ISERROR(C479*1),-1,C479+IF(LEFT(A479)="T",Bonuses!$BR$3,IF(LEFT(A479)="G",Bonuses!$BS$3,IF(LEFT(A479)="Q",Bonuses!$BT$3,IF(LEFT(A479)="S",Bonuses!$BU$3,IF(LEFT(A479)="R",Bonuses!$BV$3,0))))))+P479</f>
        <v>-1</v>
      </c>
      <c r="L479" s="80">
        <v>1</v>
      </c>
      <c r="M479" s="75">
        <v>60</v>
      </c>
      <c r="N479" s="75">
        <v>3</v>
      </c>
      <c r="O479" s="380"/>
      <c r="P479" s="380"/>
      <c r="R479" s="310">
        <v>2000</v>
      </c>
      <c r="U479" s="310"/>
    </row>
    <row r="480" spans="1:21" x14ac:dyDescent="0.2">
      <c r="A480" s="95" t="s">
        <v>258</v>
      </c>
      <c r="B480" s="79" t="s">
        <v>1075</v>
      </c>
      <c r="C480" s="126" t="s">
        <v>283</v>
      </c>
      <c r="D480" s="125">
        <f>M480+O480+(K480*N480)+IF(OR(LEFT(A480)="G",LEFT(A480)="S"),Stats!$E$3-15+Bonuses!$BO$3,IF(OR(LEFT(A480)="Q",LEFT(A480)="R"),Bonuses!$BQ$3,Bonuses!$BP$3))</f>
        <v>17</v>
      </c>
      <c r="E480" s="125">
        <f t="shared" si="38"/>
        <v>2.5499999999999998</v>
      </c>
      <c r="F480" s="125">
        <f t="shared" si="40"/>
        <v>0.85000000000000009</v>
      </c>
      <c r="G480" s="84" t="str">
        <f>15+(15*K480)&amp;" Feet"</f>
        <v>0 Feet</v>
      </c>
      <c r="H480" s="85" t="str">
        <f>5+(5*K480)&amp;" Secs"</f>
        <v>0 Secs</v>
      </c>
      <c r="I480" s="94" t="str">
        <f>"Pass action D+"&amp;K480&amp;" dmg heart squeeze"</f>
        <v>Pass action D+-1 dmg heart squeeze</v>
      </c>
      <c r="J480" s="394">
        <v>250</v>
      </c>
      <c r="K480" s="80">
        <f>IF(ISERROR(C480*1),-1,C480+IF(LEFT(A480)="T",Bonuses!$BR$3,IF(LEFT(A480)="G",Bonuses!$BS$3,IF(LEFT(A480)="Q",Bonuses!$BT$3,IF(LEFT(A480)="S",Bonuses!$BU$3,IF(LEFT(A480)="R",Bonuses!$BV$3,0))))))+P480</f>
        <v>-1</v>
      </c>
      <c r="L480" s="80">
        <v>1</v>
      </c>
      <c r="M480" s="75">
        <v>20</v>
      </c>
      <c r="N480" s="75">
        <v>3</v>
      </c>
      <c r="O480" s="380"/>
      <c r="P480" s="380"/>
      <c r="R480" s="310">
        <v>1000</v>
      </c>
      <c r="U480" s="310"/>
    </row>
    <row r="481" spans="1:22" x14ac:dyDescent="0.2">
      <c r="A481" s="95" t="s">
        <v>259</v>
      </c>
      <c r="B481" s="79" t="s">
        <v>1076</v>
      </c>
      <c r="C481" s="126" t="s">
        <v>283</v>
      </c>
      <c r="D481" s="125">
        <f>M481+O481+(K481*N481)+IF(OR(LEFT(A481)="G",LEFT(A481)="S"),Stats!$E$3-15+Bonuses!$BO$3,IF(OR(LEFT(A481)="Q",LEFT(A481)="R"),Bonuses!$BQ$3,Bonuses!$BP$3))</f>
        <v>12</v>
      </c>
      <c r="E481" s="125">
        <f t="shared" si="38"/>
        <v>1.7999999999999998</v>
      </c>
      <c r="F481" s="125">
        <f t="shared" si="40"/>
        <v>0.60000000000000009</v>
      </c>
      <c r="G481" s="80" t="s">
        <v>679</v>
      </c>
      <c r="H481" s="85" t="str">
        <f>5+5*CEILING(K481/4,1)&amp;" Secs"</f>
        <v>5 Secs</v>
      </c>
      <c r="I481" s="94" t="str">
        <f>"Touch: Drain "&amp;1+K481&amp;" FT (once)"</f>
        <v>Touch: Drain 0 FT (once)</v>
      </c>
      <c r="J481" s="394">
        <v>300</v>
      </c>
      <c r="K481" s="80">
        <f>IF(ISERROR(C481*1),-1,C481+IF(LEFT(A481)="T",Bonuses!$BR$3,IF(LEFT(A481)="G",Bonuses!$BS$3,IF(LEFT(A481)="Q",Bonuses!$BT$3,IF(LEFT(A481)="S",Bonuses!$BU$3,IF(LEFT(A481)="R",Bonuses!$BV$3,0))))))+P481</f>
        <v>-1</v>
      </c>
      <c r="L481" s="80">
        <v>1</v>
      </c>
      <c r="M481" s="75">
        <v>15</v>
      </c>
      <c r="N481" s="75">
        <v>3</v>
      </c>
      <c r="O481" s="380"/>
      <c r="P481" s="380"/>
      <c r="R481" s="310">
        <v>1000</v>
      </c>
      <c r="U481" s="310"/>
    </row>
    <row r="482" spans="1:22" x14ac:dyDescent="0.2">
      <c r="A482" s="95" t="s">
        <v>260</v>
      </c>
      <c r="B482" s="79" t="s">
        <v>876</v>
      </c>
      <c r="C482" s="126" t="s">
        <v>283</v>
      </c>
      <c r="D482" s="125">
        <f>M482+O482+(K482*N482)+IF(OR(LEFT(A482)="G",LEFT(A482)="S"),Stats!$E$3-15+Bonuses!$BO$3,IF(OR(LEFT(A482)="Q",LEFT(A482)="R"),Bonuses!$BQ$3,Bonuses!$BP$3))</f>
        <v>7</v>
      </c>
      <c r="E482" s="125">
        <f t="shared" si="38"/>
        <v>1.05</v>
      </c>
      <c r="F482" s="125">
        <f t="shared" si="40"/>
        <v>0.35000000000000003</v>
      </c>
      <c r="G482" s="84" t="str">
        <f>30+(15*K482)&amp;" Feet"</f>
        <v>15 Feet</v>
      </c>
      <c r="H482" s="85" t="str">
        <f>30+(10*K482)&amp;" Secs"</f>
        <v>20 Secs</v>
      </c>
      <c r="J482" s="394">
        <v>400</v>
      </c>
      <c r="K482" s="80">
        <f>IF(ISERROR(C482*1),-1,C482+IF(LEFT(A482)="T",Bonuses!$BR$3,IF(LEFT(A482)="G",Bonuses!$BS$3,IF(LEFT(A482)="Q",Bonuses!$BT$3,IF(LEFT(A482)="S",Bonuses!$BU$3,IF(LEFT(A482)="R",Bonuses!$BV$3,0))))))+P482</f>
        <v>-1</v>
      </c>
      <c r="L482" s="80">
        <v>1</v>
      </c>
      <c r="M482" s="75">
        <v>10</v>
      </c>
      <c r="N482" s="75">
        <v>3</v>
      </c>
      <c r="O482" s="380"/>
      <c r="P482" s="380"/>
      <c r="R482" s="310">
        <v>8000</v>
      </c>
      <c r="U482" s="310"/>
    </row>
    <row r="483" spans="1:22" x14ac:dyDescent="0.2">
      <c r="A483" s="95" t="s">
        <v>261</v>
      </c>
      <c r="B483" s="79" t="s">
        <v>1077</v>
      </c>
      <c r="C483" s="126" t="s">
        <v>283</v>
      </c>
      <c r="D483" s="125">
        <f>M483+O483+(K483*N483)+IF(OR(LEFT(A483)="G",LEFT(A483)="S"),Stats!$E$3-15+Bonuses!$BO$3,IF(OR(LEFT(A483)="Q",LEFT(A483)="R"),Bonuses!$BQ$3,Bonuses!$BP$3))</f>
        <v>2</v>
      </c>
      <c r="E483" s="125">
        <f t="shared" si="38"/>
        <v>0.3</v>
      </c>
      <c r="F483" s="125">
        <f t="shared" si="40"/>
        <v>0.1</v>
      </c>
      <c r="G483" s="84" t="str">
        <f>15+(15*K483)&amp;" Feet"</f>
        <v>0 Feet</v>
      </c>
      <c r="H483" s="151" t="s">
        <v>240</v>
      </c>
      <c r="I483" s="94" t="str">
        <f>MAX(1,CEILING(K483/3,1))&amp;" Ent. D+"&amp;1+K483*2&amp;" Dam. Res 1/2"</f>
        <v>1 Ent. D+-1 Dam. Res 1/2</v>
      </c>
      <c r="J483" s="394">
        <v>450</v>
      </c>
      <c r="K483" s="80">
        <f>IF(ISERROR(C483*1),-1,C483+IF(LEFT(A483)="T",Bonuses!$BR$3,IF(LEFT(A483)="G",Bonuses!$BS$3,IF(LEFT(A483)="Q",Bonuses!$BT$3,IF(LEFT(A483)="S",Bonuses!$BU$3,IF(LEFT(A483)="R",Bonuses!$BV$3,0))))))+P483</f>
        <v>-1</v>
      </c>
      <c r="L483" s="80">
        <v>1</v>
      </c>
      <c r="M483" s="75">
        <v>5</v>
      </c>
      <c r="N483" s="75">
        <v>3</v>
      </c>
      <c r="O483" s="380"/>
      <c r="P483" s="380"/>
      <c r="R483" s="310">
        <v>35000</v>
      </c>
      <c r="U483" s="310"/>
    </row>
    <row r="484" spans="1:22" x14ac:dyDescent="0.2">
      <c r="A484" s="95" t="s">
        <v>262</v>
      </c>
      <c r="B484" s="79" t="s">
        <v>1078</v>
      </c>
      <c r="C484" s="126" t="s">
        <v>283</v>
      </c>
      <c r="D484" s="125">
        <f>M484+O484+(K484*N484)+IF(OR(LEFT(A484)="G",LEFT(A484)="S"),Stats!$E$3-15+Bonuses!$BO$3,IF(OR(LEFT(A484)="Q",LEFT(A484)="R"),Bonuses!$BQ$3,Bonuses!$BP$3))</f>
        <v>27</v>
      </c>
      <c r="E484" s="125">
        <f t="shared" si="38"/>
        <v>4.05</v>
      </c>
      <c r="F484" s="125">
        <f t="shared" si="40"/>
        <v>1.35</v>
      </c>
      <c r="G484" s="80" t="s">
        <v>679</v>
      </c>
      <c r="J484" s="394">
        <v>250</v>
      </c>
      <c r="K484" s="80">
        <f>IF(ISERROR(C484*1),-1,C484+IF(LEFT(A484)="T",Bonuses!$BR$3,IF(LEFT(A484)="G",Bonuses!$BS$3,IF(LEFT(A484)="Q",Bonuses!$BT$3,IF(LEFT(A484)="S",Bonuses!$BU$3,IF(LEFT(A484)="R",Bonuses!$BV$3,0))))))+P484</f>
        <v>-1</v>
      </c>
      <c r="L484" s="80">
        <v>1</v>
      </c>
      <c r="M484" s="75">
        <v>30</v>
      </c>
      <c r="N484" s="75">
        <v>3</v>
      </c>
      <c r="O484" s="380"/>
      <c r="P484" s="380"/>
      <c r="R484" s="310">
        <v>5000</v>
      </c>
      <c r="U484" s="310"/>
    </row>
    <row r="485" spans="1:22" x14ac:dyDescent="0.2">
      <c r="A485" s="95" t="s">
        <v>263</v>
      </c>
      <c r="B485" s="79" t="s">
        <v>1079</v>
      </c>
      <c r="C485" s="126" t="s">
        <v>283</v>
      </c>
      <c r="D485" s="125">
        <f>M485+O485+(K485*N485)+IF(OR(LEFT(A485)="G",LEFT(A485)="S"),Stats!$E$3-15+Bonuses!$BO$3,IF(OR(LEFT(A485)="Q",LEFT(A485)="R"),Bonuses!$BQ$3,Bonuses!$BP$3))</f>
        <v>17</v>
      </c>
      <c r="E485" s="125">
        <f t="shared" si="38"/>
        <v>2.5499999999999998</v>
      </c>
      <c r="F485" s="125">
        <f t="shared" si="40"/>
        <v>0.85000000000000009</v>
      </c>
      <c r="G485" s="84" t="str">
        <f>50+(25*K485)&amp;" Feet"</f>
        <v>25 Feet</v>
      </c>
      <c r="H485" s="85" t="str">
        <f>1+(1*K485)&amp;" Months"</f>
        <v>0 Months</v>
      </c>
      <c r="J485" s="394">
        <v>225</v>
      </c>
      <c r="K485" s="80">
        <f>IF(ISERROR(C485*1),-1,C485+IF(LEFT(A485)="T",Bonuses!$BR$3,IF(LEFT(A485)="G",Bonuses!$BS$3,IF(LEFT(A485)="Q",Bonuses!$BT$3,IF(LEFT(A485)="S",Bonuses!$BU$3,IF(LEFT(A485)="R",Bonuses!$BV$3,0))))))+P485</f>
        <v>-1</v>
      </c>
      <c r="L485" s="80">
        <v>1</v>
      </c>
      <c r="M485" s="75">
        <v>20</v>
      </c>
      <c r="N485" s="75">
        <v>3</v>
      </c>
      <c r="O485" s="380"/>
      <c r="P485" s="380"/>
      <c r="R485" s="34"/>
      <c r="V485" s="310"/>
    </row>
    <row r="486" spans="1:22" x14ac:dyDescent="0.2">
      <c r="A486" s="95" t="s">
        <v>264</v>
      </c>
      <c r="B486" s="79" t="s">
        <v>1080</v>
      </c>
      <c r="C486" s="126" t="s">
        <v>283</v>
      </c>
      <c r="D486" s="125">
        <f>M486+O486+(K486*N486)+IF(OR(LEFT(A486)="G",LEFT(A486)="S"),Stats!$E$3-15+Bonuses!$BO$3,IF(OR(LEFT(A486)="Q",LEFT(A486)="R"),Bonuses!$BQ$3,Bonuses!$BP$3))</f>
        <v>2</v>
      </c>
      <c r="E486" s="125">
        <f t="shared" si="38"/>
        <v>0.3</v>
      </c>
      <c r="F486" s="125">
        <f t="shared" si="40"/>
        <v>0.1</v>
      </c>
      <c r="G486" s="80" t="s">
        <v>853</v>
      </c>
      <c r="H486" s="151" t="s">
        <v>896</v>
      </c>
      <c r="I486" s="94" t="str">
        <f>"IV "&amp;30+2*K486&amp;" [D-4]+"&amp;K486&amp;" Dam, FT+EN="&amp;20+5*TRUNC(K486/3,0)&amp;", TMR: 13"</f>
        <v>IV 28 [D-4]+-1 Dam, FT+EN=20, TMR: 13</v>
      </c>
      <c r="J486" s="394">
        <v>400</v>
      </c>
      <c r="K486" s="80">
        <f>IF(ISERROR(C486*1),-1,C486+IF(LEFT(A486)="T",Bonuses!$BR$3,IF(LEFT(A486)="G",Bonuses!$BS$3,IF(LEFT(A486)="Q",Bonuses!$BT$3,IF(LEFT(A486)="S",Bonuses!$BU$3,IF(LEFT(A486)="R",Bonuses!$BV$3,0))))))+P486</f>
        <v>-1</v>
      </c>
      <c r="L486" s="80">
        <v>1</v>
      </c>
      <c r="M486" s="75">
        <v>5</v>
      </c>
      <c r="N486" s="75">
        <v>3</v>
      </c>
      <c r="O486" s="380"/>
      <c r="P486" s="380"/>
      <c r="R486" s="310">
        <v>4000</v>
      </c>
      <c r="U486" s="310"/>
    </row>
    <row r="487" spans="1:22" x14ac:dyDescent="0.2">
      <c r="A487" s="95" t="s">
        <v>700</v>
      </c>
      <c r="B487" s="79" t="s">
        <v>1081</v>
      </c>
      <c r="C487" s="126" t="s">
        <v>283</v>
      </c>
      <c r="D487" s="125">
        <f>M487+O487+(K487*N487)+IF(OR(LEFT(A487)="G",LEFT(A487)="S"),Stats!$E$3-15+Bonuses!$BO$3,IF(OR(LEFT(A487)="Q",LEFT(A487)="R"),Bonuses!$BQ$3,Bonuses!$BP$3))</f>
        <v>12</v>
      </c>
      <c r="E487" s="125">
        <f t="shared" si="38"/>
        <v>1.7999999999999998</v>
      </c>
      <c r="F487" s="125">
        <f t="shared" si="40"/>
        <v>0.60000000000000009</v>
      </c>
      <c r="G487" s="84" t="str">
        <f>5+(5*K487)&amp;" Feet"</f>
        <v>0 Feet</v>
      </c>
      <c r="H487" s="85" t="str">
        <f>5+(1*K487)&amp;" Mins"</f>
        <v>4 Mins</v>
      </c>
      <c r="I487" s="94" t="str">
        <f>"+"&amp;1+K487&amp;"% SC. +"&amp;CEILING(K487/3,1)&amp;" dam. Hit Insubstantial"</f>
        <v>+0% SC. +0 dam. Hit Insubstantial</v>
      </c>
      <c r="J487" s="394">
        <v>250</v>
      </c>
      <c r="K487" s="80">
        <f>IF(ISERROR(C487*1),-1,C487+IF(LEFT(A487)="T",Bonuses!$BR$3,IF(LEFT(A487)="G",Bonuses!$BS$3,IF(LEFT(A487)="Q",Bonuses!$BT$3,IF(LEFT(A487)="S",Bonuses!$BU$3,IF(LEFT(A487)="R",Bonuses!$BV$3,0))))))+P487</f>
        <v>-1</v>
      </c>
      <c r="L487" s="80">
        <v>1</v>
      </c>
      <c r="M487" s="75">
        <v>15</v>
      </c>
      <c r="N487" s="75">
        <v>3</v>
      </c>
      <c r="O487" s="380"/>
      <c r="P487" s="380"/>
      <c r="R487" s="310">
        <v>3500</v>
      </c>
      <c r="U487" s="310"/>
    </row>
    <row r="488" spans="1:22" x14ac:dyDescent="0.2">
      <c r="A488" s="95" t="s">
        <v>702</v>
      </c>
      <c r="B488" s="79" t="s">
        <v>1082</v>
      </c>
      <c r="C488" s="126" t="s">
        <v>283</v>
      </c>
      <c r="D488" s="125">
        <f>M488+O488+(K488*N488)+IF(OR(LEFT(A488)="G",LEFT(A488)="S"),Stats!$E$3-15+Bonuses!$BO$3,IF(OR(LEFT(A488)="Q",LEFT(A488)="R"),Bonuses!$BQ$3,Bonuses!$BP$3))</f>
        <v>2</v>
      </c>
      <c r="E488" s="125">
        <f t="shared" si="38"/>
        <v>0.3</v>
      </c>
      <c r="F488" s="125">
        <f t="shared" si="40"/>
        <v>0.1</v>
      </c>
      <c r="G488" s="84" t="str">
        <f>30+(5*K488)&amp;" Feet"</f>
        <v>25 Feet</v>
      </c>
      <c r="H488" s="151" t="s">
        <v>240</v>
      </c>
      <c r="I488" s="94" t="str">
        <f>5+K488&amp;"' wide D-2+"&amp;K488&amp;" dmg"</f>
        <v>4' wide D-2+-1 dmg</v>
      </c>
      <c r="J488" s="394">
        <v>350</v>
      </c>
      <c r="K488" s="80">
        <f>IF(ISERROR(C488*1),-1,C488+IF(LEFT(A488)="T",Bonuses!$BR$3,IF(LEFT(A488)="G",Bonuses!$BS$3,IF(LEFT(A488)="Q",Bonuses!$BT$3,IF(LEFT(A488)="S",Bonuses!$BU$3,IF(LEFT(A488)="R",Bonuses!$BV$3,0))))))+P488</f>
        <v>-1</v>
      </c>
      <c r="L488" s="80">
        <v>1</v>
      </c>
      <c r="M488" s="75">
        <v>5</v>
      </c>
      <c r="N488" s="75">
        <v>3</v>
      </c>
      <c r="O488" s="380"/>
      <c r="P488" s="380"/>
      <c r="R488" s="310">
        <v>8000</v>
      </c>
      <c r="U488" s="310"/>
    </row>
    <row r="489" spans="1:22" x14ac:dyDescent="0.2">
      <c r="A489" s="95" t="s">
        <v>735</v>
      </c>
      <c r="B489" s="79" t="s">
        <v>1083</v>
      </c>
      <c r="C489" s="126" t="s">
        <v>283</v>
      </c>
      <c r="D489" s="125">
        <f>M489+O489+(K489*N489)+IF(OR(LEFT(A489)="G",LEFT(A489)="S"),Stats!$E$3-15+Bonuses!$BO$3,IF(OR(LEFT(A489)="Q",LEFT(A489)="R"),Bonuses!$BQ$3,Bonuses!$BP$3))</f>
        <v>27</v>
      </c>
      <c r="E489" s="125">
        <f t="shared" si="38"/>
        <v>4.05</v>
      </c>
      <c r="F489" s="125">
        <f t="shared" si="40"/>
        <v>1.35</v>
      </c>
      <c r="G489" s="84" t="str">
        <f>15+(15*K489)&amp;" Feet"</f>
        <v>0 Feet</v>
      </c>
      <c r="H489" s="85" t="str">
        <f>10+(10*K489)&amp;" Mins"</f>
        <v>0 Mins</v>
      </c>
      <c r="I489" s="94" t="str">
        <f>"10.20Wl / 10h.10dRg +"&amp;K489&amp;"'"</f>
        <v>10.20Wl / 10h.10dRg +-1'</v>
      </c>
      <c r="J489" s="394">
        <v>150</v>
      </c>
      <c r="K489" s="80">
        <f>IF(ISERROR(C489*1),-1,C489+IF(LEFT(A489)="T",Bonuses!$BR$3,IF(LEFT(A489)="G",Bonuses!$BS$3,IF(LEFT(A489)="Q",Bonuses!$BT$3,IF(LEFT(A489)="S",Bonuses!$BU$3,IF(LEFT(A489)="R",Bonuses!$BV$3,0))))))+P489</f>
        <v>-1</v>
      </c>
      <c r="L489" s="80">
        <v>1</v>
      </c>
      <c r="M489" s="75">
        <v>30</v>
      </c>
      <c r="N489" s="75">
        <v>3</v>
      </c>
      <c r="O489" s="380"/>
      <c r="P489" s="380"/>
      <c r="R489" s="310">
        <v>5000</v>
      </c>
      <c r="U489" s="310"/>
    </row>
    <row r="490" spans="1:22" x14ac:dyDescent="0.2">
      <c r="A490" s="95" t="s">
        <v>737</v>
      </c>
      <c r="B490" s="79" t="s">
        <v>1084</v>
      </c>
      <c r="C490" s="126" t="s">
        <v>283</v>
      </c>
      <c r="D490" s="125">
        <f>M490+O490+(K490*N490)+IF(OR(LEFT(A490)="G",LEFT(A490)="S"),Stats!$E$3-15+Bonuses!$BO$3,IF(OR(LEFT(A490)="Q",LEFT(A490)="R"),Bonuses!$BQ$3,Bonuses!$BP$3))</f>
        <v>12</v>
      </c>
      <c r="E490" s="125">
        <f t="shared" si="38"/>
        <v>1.7999999999999998</v>
      </c>
      <c r="F490" s="125">
        <f t="shared" si="40"/>
        <v>0.60000000000000009</v>
      </c>
      <c r="G490" s="80" t="s">
        <v>616</v>
      </c>
      <c r="H490" s="85" t="str">
        <f>0.5+(0.5*K490)&amp;" Hours"</f>
        <v>0 Hours</v>
      </c>
      <c r="I490" s="94" t="str">
        <f>2+3*TRUNC(K490/2,0)&amp;"% Def, -"&amp;TRUNC(K490/3,0)&amp;" dmg "&amp;1+K490&amp;"% stealth"</f>
        <v>2% Def, -0 dmg 0% stealth</v>
      </c>
      <c r="J490" s="394">
        <v>200</v>
      </c>
      <c r="K490" s="80">
        <f>IF(ISERROR(C490*1),-1,C490+IF(LEFT(A490)="T",Bonuses!$BR$3,IF(LEFT(A490)="G",Bonuses!$BS$3,IF(LEFT(A490)="Q",Bonuses!$BT$3,IF(LEFT(A490)="S",Bonuses!$BU$3,IF(LEFT(A490)="R",Bonuses!$BV$3,0))))))+P490</f>
        <v>-1</v>
      </c>
      <c r="L490" s="80">
        <v>1</v>
      </c>
      <c r="M490" s="75">
        <v>15</v>
      </c>
      <c r="N490" s="75">
        <v>3</v>
      </c>
      <c r="O490" s="380"/>
      <c r="P490" s="380"/>
      <c r="R490" s="310">
        <v>8000</v>
      </c>
      <c r="U490" s="310"/>
    </row>
    <row r="491" spans="1:22" x14ac:dyDescent="0.2">
      <c r="A491" s="95" t="s">
        <v>625</v>
      </c>
      <c r="B491" s="79" t="s">
        <v>1085</v>
      </c>
      <c r="C491" s="126" t="s">
        <v>283</v>
      </c>
      <c r="D491" s="125">
        <f>M491+O491+(K491*N491)+IF(OR(LEFT(A491)="G",LEFT(A491)="S"),Stats!$E$3-15+Bonuses!$BO$3,IF(OR(LEFT(A491)="Q",LEFT(A491)="R"),Bonuses!$BQ$3,Bonuses!$BP$3))</f>
        <v>7</v>
      </c>
      <c r="E491" s="125">
        <f t="shared" si="38"/>
        <v>1.05</v>
      </c>
      <c r="F491" s="125">
        <f t="shared" si="40"/>
        <v>0.35000000000000003</v>
      </c>
      <c r="J491" s="394">
        <v>250</v>
      </c>
      <c r="K491" s="80">
        <f>IF(ISERROR(C491*1),-1,C491+IF(LEFT(A491)="T",Bonuses!$BR$3,IF(LEFT(A491)="G",Bonuses!$BS$3,IF(LEFT(A491)="Q",Bonuses!$BT$3,IF(LEFT(A491)="S",Bonuses!$BU$3,IF(LEFT(A491)="R",Bonuses!$BV$3,0))))))+P491</f>
        <v>-1</v>
      </c>
      <c r="L491" s="80">
        <v>7</v>
      </c>
      <c r="M491" s="75">
        <v>10</v>
      </c>
      <c r="N491" s="75">
        <v>3</v>
      </c>
      <c r="O491" s="380"/>
      <c r="P491" s="380"/>
      <c r="R491" s="34"/>
      <c r="V491" s="310"/>
    </row>
    <row r="492" spans="1:22" x14ac:dyDescent="0.2">
      <c r="A492" s="95" t="s">
        <v>627</v>
      </c>
      <c r="B492" s="79" t="s">
        <v>1086</v>
      </c>
      <c r="C492" s="126" t="s">
        <v>283</v>
      </c>
      <c r="D492" s="125">
        <f>M492+O492+(K492*N492)+IF(OR(LEFT(A492)="G",LEFT(A492)="S"),Stats!$E$3-15+Bonuses!$BO$3,IF(OR(LEFT(A492)="Q",LEFT(A492)="R"),Bonuses!$BQ$3,Bonuses!$BP$3))</f>
        <v>0</v>
      </c>
      <c r="E492" s="125">
        <f t="shared" si="38"/>
        <v>0</v>
      </c>
      <c r="F492" s="125">
        <f t="shared" si="40"/>
        <v>0</v>
      </c>
      <c r="J492" s="394">
        <v>350</v>
      </c>
      <c r="K492" s="80">
        <f>IF(ISERROR(C492*1),-1,C492+IF(LEFT(A492)="T",Bonuses!$BR$3,IF(LEFT(A492)="G",Bonuses!$BS$3,IF(LEFT(A492)="Q",Bonuses!$BT$3,IF(LEFT(A492)="S",Bonuses!$BU$3,IF(LEFT(A492)="R",Bonuses!$BV$3,0))))))+P492</f>
        <v>-1</v>
      </c>
      <c r="L492" s="80">
        <v>7</v>
      </c>
      <c r="M492" s="75">
        <v>5</v>
      </c>
      <c r="N492" s="75">
        <v>5</v>
      </c>
      <c r="O492" s="380"/>
      <c r="P492" s="380"/>
      <c r="R492" s="310">
        <v>3000</v>
      </c>
      <c r="U492" s="310"/>
    </row>
    <row r="493" spans="1:22" x14ac:dyDescent="0.2">
      <c r="A493" s="95" t="s">
        <v>629</v>
      </c>
      <c r="B493" s="79" t="s">
        <v>1087</v>
      </c>
      <c r="C493" s="126" t="s">
        <v>283</v>
      </c>
      <c r="D493" s="125">
        <f>M493+O493+(K493*N493)+IF(OR(LEFT(A493)="G",LEFT(A493)="S"),Stats!$E$3-15+Bonuses!$BO$3,IF(OR(LEFT(A493)="Q",LEFT(A493)="R"),Bonuses!$BQ$3,Bonuses!$BP$3))</f>
        <v>11</v>
      </c>
      <c r="E493" s="125">
        <f t="shared" si="38"/>
        <v>1.65</v>
      </c>
      <c r="F493" s="125">
        <f t="shared" si="40"/>
        <v>0.55000000000000004</v>
      </c>
      <c r="J493" s="394">
        <v>350</v>
      </c>
      <c r="K493" s="80">
        <f>IF(ISERROR(C493*1),-1,C493+IF(LEFT(A493)="T",Bonuses!$BR$3,IF(LEFT(A493)="G",Bonuses!$BS$3,IF(LEFT(A493)="Q",Bonuses!$BT$3,IF(LEFT(A493)="S",Bonuses!$BU$3,IF(LEFT(A493)="R",Bonuses!$BV$3,0))))))+P493</f>
        <v>-1</v>
      </c>
      <c r="L493" s="80">
        <v>7</v>
      </c>
      <c r="M493" s="75">
        <f>Stats!$E$3</f>
        <v>15</v>
      </c>
      <c r="N493" s="75">
        <v>4</v>
      </c>
      <c r="O493" s="380"/>
      <c r="P493" s="380"/>
      <c r="R493" s="310">
        <v>15000</v>
      </c>
      <c r="U493" s="310"/>
    </row>
    <row r="494" spans="1:22" x14ac:dyDescent="0.2">
      <c r="A494" s="95" t="s">
        <v>632</v>
      </c>
      <c r="B494" s="79" t="s">
        <v>1088</v>
      </c>
      <c r="C494" s="126" t="s">
        <v>283</v>
      </c>
      <c r="D494" s="125">
        <f>M494+O494+(K494*N494)+IF(OR(LEFT(A494)="G",LEFT(A494)="S"),Stats!$E$3-15+Bonuses!$BO$3,IF(OR(LEFT(A494)="Q",LEFT(A494)="R"),Bonuses!$BQ$3,Bonuses!$BP$3))</f>
        <v>0</v>
      </c>
      <c r="E494" s="125">
        <f t="shared" si="38"/>
        <v>0</v>
      </c>
      <c r="F494" s="125">
        <f t="shared" si="40"/>
        <v>0</v>
      </c>
      <c r="J494" s="394">
        <v>500</v>
      </c>
      <c r="K494" s="80">
        <f>IF(ISERROR(C494*1),-1,C494+IF(LEFT(A494)="T",Bonuses!$BR$3,IF(LEFT(A494)="G",Bonuses!$BS$3,IF(LEFT(A494)="Q",Bonuses!$BT$3,IF(LEFT(A494)="S",Bonuses!$BU$3,IF(LEFT(A494)="R",Bonuses!$BV$3,0))))))+P494</f>
        <v>-1</v>
      </c>
      <c r="L494" s="80">
        <v>7</v>
      </c>
      <c r="O494" s="380"/>
      <c r="P494" s="380"/>
      <c r="R494" s="310">
        <v>30000</v>
      </c>
      <c r="U494" s="310"/>
    </row>
    <row r="495" spans="1:22" x14ac:dyDescent="0.2">
      <c r="A495" s="95" t="s">
        <v>634</v>
      </c>
      <c r="B495" s="79" t="s">
        <v>1089</v>
      </c>
      <c r="C495" s="126" t="s">
        <v>283</v>
      </c>
      <c r="D495" s="125">
        <f>M495+O495+(K495*N495)+IF(OR(LEFT(A495)="G",LEFT(A495)="S"),Stats!$E$3-15+Bonuses!$BO$3,IF(OR(LEFT(A495)="Q",LEFT(A495)="R"),Bonuses!$BQ$3,Bonuses!$BP$3))</f>
        <v>5</v>
      </c>
      <c r="E495" s="125">
        <f t="shared" si="38"/>
        <v>0.75</v>
      </c>
      <c r="F495" s="125">
        <f t="shared" si="40"/>
        <v>0.25</v>
      </c>
      <c r="J495" s="394">
        <v>350</v>
      </c>
      <c r="K495" s="80">
        <f>IF(ISERROR(C495*1),-1,C495+IF(LEFT(A495)="T",Bonuses!$BR$3,IF(LEFT(A495)="G",Bonuses!$BS$3,IF(LEFT(A495)="Q",Bonuses!$BT$3,IF(LEFT(A495)="S",Bonuses!$BU$3,IF(LEFT(A495)="R",Bonuses!$BV$3,0))))))+P495</f>
        <v>-1</v>
      </c>
      <c r="L495" s="80">
        <v>7</v>
      </c>
      <c r="M495" s="75">
        <f>ROUND(Stats!$E$3/2,0)</f>
        <v>8</v>
      </c>
      <c r="N495" s="75">
        <v>3</v>
      </c>
      <c r="O495" s="380"/>
      <c r="P495" s="380"/>
      <c r="R495" s="310">
        <v>30000</v>
      </c>
      <c r="U495" s="310"/>
    </row>
    <row r="496" spans="1:22" x14ac:dyDescent="0.2">
      <c r="U496" s="310"/>
    </row>
    <row r="497" spans="1:18" ht="15" customHeight="1" x14ac:dyDescent="0.2">
      <c r="A497" s="73"/>
      <c r="B497" s="73" t="s">
        <v>1133</v>
      </c>
      <c r="C497" s="74" t="s">
        <v>149</v>
      </c>
      <c r="D497" s="97" t="s">
        <v>231</v>
      </c>
      <c r="E497" s="97" t="s">
        <v>265</v>
      </c>
      <c r="F497" s="97" t="s">
        <v>266</v>
      </c>
      <c r="G497" s="74" t="s">
        <v>2</v>
      </c>
      <c r="H497" s="74" t="s">
        <v>232</v>
      </c>
      <c r="I497" s="74" t="s">
        <v>234</v>
      </c>
      <c r="J497" s="393" t="s">
        <v>233</v>
      </c>
      <c r="K497" s="75" t="s">
        <v>149</v>
      </c>
      <c r="L497" s="75" t="s">
        <v>235</v>
      </c>
      <c r="M497" s="75" t="s">
        <v>236</v>
      </c>
      <c r="N497" s="76" t="s">
        <v>269</v>
      </c>
      <c r="O497" s="3" t="s">
        <v>169</v>
      </c>
      <c r="P497" s="3" t="s">
        <v>171</v>
      </c>
      <c r="Q497" s="77" t="s">
        <v>237</v>
      </c>
      <c r="R497" s="78" t="s">
        <v>238</v>
      </c>
    </row>
    <row r="498" spans="1:18" x14ac:dyDescent="0.2">
      <c r="A498" s="95" t="s">
        <v>239</v>
      </c>
      <c r="B498" s="79" t="s">
        <v>1134</v>
      </c>
      <c r="C498" s="126">
        <v>0</v>
      </c>
      <c r="D498" s="125">
        <f>M498+O498+(K498*N498)+IF(OR(LEFT(A498)="G",LEFT(A498)="S"),Stats!$E$3-15+Bonuses!$BO$3,IF(OR(LEFT(A498)="Q",LEFT(A498)="R"),Bonuses!$BQ$3,Bonuses!$BP$3))</f>
        <v>20</v>
      </c>
      <c r="E498" s="125">
        <f t="shared" ref="E498:E537" si="41">D498*0.15</f>
        <v>3</v>
      </c>
      <c r="F498" s="125">
        <f t="shared" ref="F498:F537" si="42">D498*0.05</f>
        <v>1</v>
      </c>
      <c r="J498" s="394">
        <v>150</v>
      </c>
      <c r="K498" s="80">
        <f>IF(ISERROR(C498*1),-1,C498+IF(LEFT(A498)="T",Bonuses!$BR$3,IF(LEFT(A498)="G",Bonuses!$BS$3,IF(LEFT(A498)="Q",Bonuses!$BT$3,IF(LEFT(A498)="S",Bonuses!$BU$3,IF(LEFT(A498)="R",Bonuses!$BV$3,0))))))+P498</f>
        <v>0</v>
      </c>
      <c r="L498" s="80">
        <v>0</v>
      </c>
      <c r="M498" s="75">
        <f>Stats!$E$3+Stats!$I$3</f>
        <v>20</v>
      </c>
      <c r="N498" s="75">
        <v>3</v>
      </c>
      <c r="O498" s="380"/>
      <c r="P498" s="380"/>
    </row>
    <row r="499" spans="1:18" x14ac:dyDescent="0.2">
      <c r="A499" s="95" t="s">
        <v>611</v>
      </c>
      <c r="B499" s="79" t="s">
        <v>1135</v>
      </c>
      <c r="C499" s="126">
        <v>0</v>
      </c>
      <c r="D499" s="125">
        <f>M499+O499+(K499*N499)+IF(OR(LEFT(A499)="G",LEFT(A499)="S"),Stats!$E$3-15+Bonuses!$BO$3,IF(OR(LEFT(A499)="Q",LEFT(A499)="R"),Bonuses!$BQ$3,Bonuses!$BP$3))</f>
        <v>0</v>
      </c>
      <c r="E499" s="125">
        <f t="shared" si="41"/>
        <v>0</v>
      </c>
      <c r="F499" s="125">
        <f t="shared" si="42"/>
        <v>0</v>
      </c>
      <c r="J499" s="394">
        <v>200</v>
      </c>
      <c r="K499" s="80">
        <f>IF(ISERROR(C499*1),-1,C499+IF(LEFT(A499)="T",Bonuses!$BR$3,IF(LEFT(A499)="G",Bonuses!$BS$3,IF(LEFT(A499)="Q",Bonuses!$BT$3,IF(LEFT(A499)="S",Bonuses!$BU$3,IF(LEFT(A499)="R",Bonuses!$BV$3,0))))))+P499</f>
        <v>0</v>
      </c>
      <c r="L499" s="80">
        <v>0</v>
      </c>
      <c r="O499" s="380"/>
      <c r="P499" s="380"/>
    </row>
    <row r="500" spans="1:18" x14ac:dyDescent="0.2">
      <c r="A500" s="95" t="s">
        <v>241</v>
      </c>
      <c r="B500" s="79" t="s">
        <v>1136</v>
      </c>
      <c r="C500" s="126">
        <v>0</v>
      </c>
      <c r="D500" s="125">
        <f>M500+O500+(K500*N500)+IF(OR(LEFT(A500)="G",LEFT(A500)="S"),Stats!$E$3-15+Bonuses!$BO$3,IF(OR(LEFT(A500)="Q",LEFT(A500)="R"),Bonuses!$BQ$3,Bonuses!$BP$3))</f>
        <v>10</v>
      </c>
      <c r="E500" s="125">
        <f t="shared" si="41"/>
        <v>1.5</v>
      </c>
      <c r="F500" s="125">
        <f t="shared" si="42"/>
        <v>0.5</v>
      </c>
      <c r="G500" s="84" t="s">
        <v>679</v>
      </c>
      <c r="H500" s="85"/>
      <c r="J500" s="394">
        <v>500</v>
      </c>
      <c r="K500" s="80">
        <f>IF(ISERROR(C500*1),-1,C500+IF(LEFT(A500)="T",Bonuses!$BR$3,IF(LEFT(A500)="G",Bonuses!$BS$3,IF(LEFT(A500)="Q",Bonuses!$BT$3,IF(LEFT(A500)="S",Bonuses!$BU$3,IF(LEFT(A500)="R",Bonuses!$BV$3,0))))))+P500</f>
        <v>0</v>
      </c>
      <c r="L500" s="80">
        <v>1</v>
      </c>
      <c r="M500" s="75">
        <v>10</v>
      </c>
      <c r="N500" s="75">
        <v>3</v>
      </c>
      <c r="O500" s="380"/>
      <c r="P500" s="380"/>
      <c r="Q500" s="86">
        <f>MAX((MAX(Stats!$E$2,Ranking!$C$13)-15)*5,0)</f>
        <v>0</v>
      </c>
      <c r="R500" s="83">
        <v>300</v>
      </c>
    </row>
    <row r="501" spans="1:18" x14ac:dyDescent="0.2">
      <c r="A501" s="95" t="s">
        <v>242</v>
      </c>
      <c r="B501" s="79" t="s">
        <v>1137</v>
      </c>
      <c r="C501" s="126">
        <v>0</v>
      </c>
      <c r="D501" s="125">
        <f>M501+O501+(K501*N501)+IF(OR(LEFT(A501)="G",LEFT(A501)="S"),Stats!$E$3-15+Bonuses!$BO$3,IF(OR(LEFT(A501)="Q",LEFT(A501)="R"),Bonuses!$BQ$3,Bonuses!$BP$3))</f>
        <v>40</v>
      </c>
      <c r="E501" s="125">
        <f t="shared" si="41"/>
        <v>6</v>
      </c>
      <c r="F501" s="125">
        <f t="shared" si="42"/>
        <v>2</v>
      </c>
      <c r="G501" s="84" t="str">
        <f>15+(15*K501)&amp;" Feet"</f>
        <v>15 Feet</v>
      </c>
      <c r="H501" s="85" t="str">
        <f>15+(15*K501)&amp;" Mins"</f>
        <v>15 Mins</v>
      </c>
      <c r="J501" s="394">
        <v>100</v>
      </c>
      <c r="K501" s="80">
        <f>IF(ISERROR(C501*1),-1,C501+IF(LEFT(A501)="T",Bonuses!$BR$3,IF(LEFT(A501)="G",Bonuses!$BS$3,IF(LEFT(A501)="Q",Bonuses!$BT$3,IF(LEFT(A501)="S",Bonuses!$BU$3,IF(LEFT(A501)="R",Bonuses!$BV$3,0))))))+P501</f>
        <v>0</v>
      </c>
      <c r="L501" s="80">
        <v>1</v>
      </c>
      <c r="M501" s="75">
        <v>40</v>
      </c>
      <c r="N501" s="75">
        <v>3</v>
      </c>
      <c r="O501" s="380"/>
      <c r="P501" s="380"/>
      <c r="Q501" s="86">
        <f>MAX((MAX(Stats!$E$2,Ranking!$C$13)-15)*5,0)</f>
        <v>0</v>
      </c>
      <c r="R501" s="83">
        <v>300</v>
      </c>
    </row>
    <row r="502" spans="1:18" x14ac:dyDescent="0.2">
      <c r="A502" s="95" t="s">
        <v>243</v>
      </c>
      <c r="B502" s="79" t="s">
        <v>1138</v>
      </c>
      <c r="C502" s="126">
        <v>0</v>
      </c>
      <c r="D502" s="125">
        <f>M502+O502+(K502*N502)+IF(OR(LEFT(A502)="G",LEFT(A502)="S"),Stats!$E$3-15+Bonuses!$BO$3,IF(OR(LEFT(A502)="Q",LEFT(A502)="R"),Bonuses!$BQ$3,Bonuses!$BP$3))</f>
        <v>35</v>
      </c>
      <c r="E502" s="125">
        <f t="shared" si="41"/>
        <v>5.25</v>
      </c>
      <c r="F502" s="125">
        <f t="shared" si="42"/>
        <v>1.75</v>
      </c>
      <c r="G502" s="84" t="s">
        <v>679</v>
      </c>
      <c r="H502" s="85" t="s">
        <v>240</v>
      </c>
      <c r="I502" s="94" t="str">
        <f>"1 min to heal "&amp;1+ROUND(K502/2,0)</f>
        <v>1 min to heal 1</v>
      </c>
      <c r="J502" s="394">
        <v>200</v>
      </c>
      <c r="K502" s="80">
        <f>IF(ISERROR(C502*1),-1,C502+IF(LEFT(A502)="T",Bonuses!$BR$3,IF(LEFT(A502)="G",Bonuses!$BS$3,IF(LEFT(A502)="Q",Bonuses!$BT$3,IF(LEFT(A502)="S",Bonuses!$BU$3,IF(LEFT(A502)="R",Bonuses!$BV$3,0))))))+P502</f>
        <v>0</v>
      </c>
      <c r="L502" s="80">
        <v>1</v>
      </c>
      <c r="M502" s="75">
        <v>35</v>
      </c>
      <c r="N502" s="75">
        <v>3</v>
      </c>
      <c r="O502" s="380"/>
      <c r="P502" s="380"/>
      <c r="Q502" s="86">
        <f>MAX((MAX(Stats!$E$2,Ranking!$C$13)-15)*5,0)</f>
        <v>0</v>
      </c>
      <c r="R502" s="83">
        <v>300</v>
      </c>
    </row>
    <row r="503" spans="1:18" x14ac:dyDescent="0.2">
      <c r="A503" s="95" t="s">
        <v>245</v>
      </c>
      <c r="B503" s="79" t="s">
        <v>1139</v>
      </c>
      <c r="C503" s="126">
        <v>0</v>
      </c>
      <c r="D503" s="125">
        <f>M503+O503+(K503*N503)+IF(OR(LEFT(A503)="G",LEFT(A503)="S"),Stats!$E$3-15+Bonuses!$BO$3,IF(OR(LEFT(A503)="Q",LEFT(A503)="R"),Bonuses!$BQ$3,Bonuses!$BP$3))</f>
        <v>40</v>
      </c>
      <c r="E503" s="125">
        <f t="shared" si="41"/>
        <v>6</v>
      </c>
      <c r="F503" s="125">
        <f t="shared" si="42"/>
        <v>2</v>
      </c>
      <c r="G503" s="84" t="str">
        <f>15+(15*K503)&amp;" Feet"</f>
        <v>15 Feet</v>
      </c>
      <c r="H503" s="85" t="str">
        <f>15+(15*K503)&amp;" Mins"</f>
        <v>15 Mins</v>
      </c>
      <c r="J503" s="394">
        <v>100</v>
      </c>
      <c r="K503" s="80">
        <f>IF(ISERROR(C503*1),-1,C503+IF(LEFT(A503)="T",Bonuses!$BR$3,IF(LEFT(A503)="G",Bonuses!$BS$3,IF(LEFT(A503)="Q",Bonuses!$BT$3,IF(LEFT(A503)="S",Bonuses!$BU$3,IF(LEFT(A503)="R",Bonuses!$BV$3,0))))))+P503</f>
        <v>0</v>
      </c>
      <c r="L503" s="80">
        <v>1</v>
      </c>
      <c r="M503" s="75">
        <v>40</v>
      </c>
      <c r="N503" s="75">
        <v>3</v>
      </c>
      <c r="O503" s="380"/>
      <c r="P503" s="380"/>
      <c r="Q503" s="86">
        <f>MAX((MAX(Stats!$E$2,Ranking!$C$13)-15)*5,0)</f>
        <v>0</v>
      </c>
      <c r="R503" s="83">
        <v>300</v>
      </c>
    </row>
    <row r="504" spans="1:18" x14ac:dyDescent="0.2">
      <c r="A504" s="95" t="s">
        <v>246</v>
      </c>
      <c r="B504" s="79" t="s">
        <v>945</v>
      </c>
      <c r="C504" s="126">
        <v>0</v>
      </c>
      <c r="D504" s="125">
        <f>M504+O504+(K504*N504)+IF(OR(LEFT(A504)="G",LEFT(A504)="S"),Stats!$E$3-15+Bonuses!$BO$3,IF(OR(LEFT(A504)="Q",LEFT(A504)="R"),Bonuses!$BQ$3,Bonuses!$BP$3))</f>
        <v>30</v>
      </c>
      <c r="E504" s="125">
        <f t="shared" si="41"/>
        <v>4.5</v>
      </c>
      <c r="F504" s="125">
        <f t="shared" si="42"/>
        <v>1.5</v>
      </c>
      <c r="G504" s="84" t="s">
        <v>679</v>
      </c>
      <c r="H504" s="85" t="s">
        <v>240</v>
      </c>
      <c r="J504" s="394">
        <v>100</v>
      </c>
      <c r="K504" s="80">
        <f>IF(ISERROR(C504*1),-1,C504+IF(LEFT(A504)="T",Bonuses!$BR$3,IF(LEFT(A504)="G",Bonuses!$BS$3,IF(LEFT(A504)="Q",Bonuses!$BT$3,IF(LEFT(A504)="S",Bonuses!$BU$3,IF(LEFT(A504)="R",Bonuses!$BV$3,0))))))+P504</f>
        <v>0</v>
      </c>
      <c r="L504" s="80">
        <v>1</v>
      </c>
      <c r="M504" s="75">
        <v>30</v>
      </c>
      <c r="N504" s="75">
        <v>3</v>
      </c>
      <c r="O504" s="380"/>
      <c r="P504" s="380"/>
      <c r="Q504" s="86">
        <f>MAX((MAX(Stats!$E$2,Ranking!$C$13)-15)*5,0)</f>
        <v>0</v>
      </c>
      <c r="R504" s="83">
        <v>300</v>
      </c>
    </row>
    <row r="505" spans="1:18" x14ac:dyDescent="0.2">
      <c r="A505" s="95" t="s">
        <v>247</v>
      </c>
      <c r="B505" s="79" t="s">
        <v>674</v>
      </c>
      <c r="C505" s="126">
        <v>0</v>
      </c>
      <c r="D505" s="125">
        <f>M505+O505+(K505*N505)+IF(OR(LEFT(A505)="G",LEFT(A505)="S"),Stats!$E$3-15+Bonuses!$BO$3,IF(OR(LEFT(A505)="Q",LEFT(A505)="R"),Bonuses!$BQ$3,Bonuses!$BP$3))</f>
        <v>40</v>
      </c>
      <c r="E505" s="125">
        <f t="shared" si="41"/>
        <v>6</v>
      </c>
      <c r="F505" s="125">
        <f t="shared" si="42"/>
        <v>2</v>
      </c>
      <c r="G505" s="84" t="str">
        <f>5+(1*K505)&amp;" Feet"</f>
        <v>5 Feet</v>
      </c>
      <c r="H505" s="85" t="s">
        <v>240</v>
      </c>
      <c r="J505" s="394">
        <v>75</v>
      </c>
      <c r="K505" s="80">
        <f>IF(ISERROR(C505*1),-1,C505+IF(LEFT(A505)="T",Bonuses!$BR$3,IF(LEFT(A505)="G",Bonuses!$BS$3,IF(LEFT(A505)="Q",Bonuses!$BT$3,IF(LEFT(A505)="S",Bonuses!$BU$3,IF(LEFT(A505)="R",Bonuses!$BV$3,0))))))+P505</f>
        <v>0</v>
      </c>
      <c r="L505" s="80">
        <v>1</v>
      </c>
      <c r="M505" s="75">
        <v>40</v>
      </c>
      <c r="N505" s="75">
        <v>3</v>
      </c>
      <c r="O505" s="380"/>
      <c r="P505" s="380"/>
      <c r="Q505" s="86">
        <f>MAX((MAX(Stats!$E$2,Ranking!$C$13)-15)*5,0)</f>
        <v>0</v>
      </c>
      <c r="R505" s="83">
        <v>300</v>
      </c>
    </row>
    <row r="506" spans="1:18" x14ac:dyDescent="0.2">
      <c r="A506" s="95" t="s">
        <v>248</v>
      </c>
      <c r="B506" s="79" t="s">
        <v>1140</v>
      </c>
      <c r="C506" s="126">
        <v>0</v>
      </c>
      <c r="D506" s="125">
        <f>M506+O506+(K506*N506)+IF(OR(LEFT(A506)="G",LEFT(A506)="S"),Stats!$E$3-15+Bonuses!$BO$3,IF(OR(LEFT(A506)="Q",LEFT(A506)="R"),Bonuses!$BQ$3,Bonuses!$BP$3))</f>
        <v>35</v>
      </c>
      <c r="E506" s="125">
        <f t="shared" si="41"/>
        <v>5.25</v>
      </c>
      <c r="F506" s="125">
        <f t="shared" si="42"/>
        <v>1.75</v>
      </c>
      <c r="G506" s="84" t="s">
        <v>679</v>
      </c>
      <c r="H506" s="85" t="str">
        <f>1+K506&amp;" Hours"</f>
        <v>1 Hours</v>
      </c>
      <c r="J506" s="394">
        <v>200</v>
      </c>
      <c r="K506" s="80">
        <f>IF(ISERROR(C506*1),-1,C506+IF(LEFT(A506)="T",Bonuses!$BR$3,IF(LEFT(A506)="G",Bonuses!$BS$3,IF(LEFT(A506)="Q",Bonuses!$BT$3,IF(LEFT(A506)="S",Bonuses!$BU$3,IF(LEFT(A506)="R",Bonuses!$BV$3,0))))))+P506</f>
        <v>0</v>
      </c>
      <c r="L506" s="80">
        <v>1</v>
      </c>
      <c r="M506" s="75">
        <v>35</v>
      </c>
      <c r="N506" s="75">
        <v>3</v>
      </c>
      <c r="O506" s="380"/>
      <c r="P506" s="380"/>
      <c r="Q506" s="86">
        <f>MAX((MAX(Stats!$E$2,Ranking!$C$13)-15)*5,0)</f>
        <v>0</v>
      </c>
      <c r="R506" s="83">
        <v>300</v>
      </c>
    </row>
    <row r="507" spans="1:18" x14ac:dyDescent="0.2">
      <c r="A507" s="96" t="s">
        <v>268</v>
      </c>
      <c r="B507" s="79" t="s">
        <v>795</v>
      </c>
      <c r="C507" s="126">
        <v>0</v>
      </c>
      <c r="D507" s="125">
        <f>M507+O507+(K507*N507)+IF(OR(LEFT(A507)="G",LEFT(A507)="S"),Stats!$E$3-15+Bonuses!$BO$3,IF(OR(LEFT(A507)="Q",LEFT(A507)="R"),Bonuses!$BQ$3,Bonuses!$BP$3))</f>
        <v>40</v>
      </c>
      <c r="E507" s="125">
        <f t="shared" si="41"/>
        <v>6</v>
      </c>
      <c r="F507" s="125">
        <f t="shared" si="42"/>
        <v>2</v>
      </c>
      <c r="G507" s="84" t="str">
        <f>25+(25*K507)&amp;" Feet"</f>
        <v>25 Feet</v>
      </c>
      <c r="H507" s="88" t="str">
        <f>"D+"&amp;5+K507&amp;" Mins"</f>
        <v>D+5 Mins</v>
      </c>
      <c r="I507" s="94" t="str">
        <f>"+"&amp;30 + (K507*3)&amp;" to MR vs Generals"</f>
        <v>+30 to MR vs Generals</v>
      </c>
      <c r="J507" s="394">
        <v>100</v>
      </c>
      <c r="K507" s="80">
        <f>IF(ISERROR(C507*1),-1,C507+IF(LEFT(A507)="T",Bonuses!$BR$3,IF(LEFT(A507)="G",Bonuses!$BS$3,IF(LEFT(A507)="Q",Bonuses!$BT$3,IF(LEFT(A507)="S",Bonuses!$BU$3,IF(LEFT(A507)="R",Bonuses!$BV$3,0))))))+P507</f>
        <v>0</v>
      </c>
      <c r="L507" s="80">
        <v>1</v>
      </c>
      <c r="M507" s="75">
        <v>40</v>
      </c>
      <c r="N507" s="75">
        <v>3</v>
      </c>
      <c r="O507" s="380"/>
      <c r="P507" s="380"/>
      <c r="Q507" s="86">
        <f>MAX((MAX(Stats!$E$2,Ranking!$C$13)-15)*5,0)</f>
        <v>0</v>
      </c>
      <c r="R507" s="83">
        <v>300</v>
      </c>
    </row>
    <row r="508" spans="1:18" x14ac:dyDescent="0.2">
      <c r="A508" s="96" t="s">
        <v>268</v>
      </c>
      <c r="B508" s="79" t="s">
        <v>797</v>
      </c>
      <c r="C508" s="126">
        <v>0</v>
      </c>
      <c r="D508" s="125">
        <f>M508+O508+(K508*N508)+IF(OR(LEFT(A508)="G",LEFT(A508)="S"),Stats!$E$3-15+Bonuses!$BO$3,IF(OR(LEFT(A508)="Q",LEFT(A508)="R"),Bonuses!$BQ$3,Bonuses!$BP$3))</f>
        <v>40</v>
      </c>
      <c r="E508" s="125">
        <f t="shared" si="41"/>
        <v>6</v>
      </c>
      <c r="F508" s="125">
        <f t="shared" si="42"/>
        <v>2</v>
      </c>
      <c r="G508" s="84" t="str">
        <f>25+(25*K508)&amp;" Feet"</f>
        <v>25 Feet</v>
      </c>
      <c r="H508" s="88" t="str">
        <f>"D+"&amp;5+K508&amp;" Mins"</f>
        <v>D+5 Mins</v>
      </c>
      <c r="I508" s="94" t="str">
        <f>"+"&amp;30 + (K508*3)&amp;" to MR vs Specials"</f>
        <v>+30 to MR vs Specials</v>
      </c>
      <c r="J508" s="394">
        <v>200</v>
      </c>
      <c r="K508" s="80">
        <f>IF(ISERROR(C508*1),-1,C508+IF(LEFT(A508)="T",Bonuses!$BR$3,IF(LEFT(A508)="G",Bonuses!$BS$3,IF(LEFT(A508)="Q",Bonuses!$BT$3,IF(LEFT(A508)="S",Bonuses!$BU$3,IF(LEFT(A508)="R",Bonuses!$BV$3,0))))))+P508</f>
        <v>0</v>
      </c>
      <c r="L508" s="80">
        <v>1</v>
      </c>
      <c r="M508" s="75">
        <v>40</v>
      </c>
      <c r="N508" s="75">
        <v>3</v>
      </c>
      <c r="O508" s="380"/>
      <c r="P508" s="380"/>
      <c r="Q508" s="86">
        <f>MAX((MAX(Stats!$E$2,Ranking!$C$13)-15)*5,0)</f>
        <v>0</v>
      </c>
      <c r="R508" s="83">
        <v>300</v>
      </c>
    </row>
    <row r="509" spans="1:18" x14ac:dyDescent="0.2">
      <c r="A509" s="95" t="s">
        <v>251</v>
      </c>
      <c r="B509" s="79" t="s">
        <v>1141</v>
      </c>
      <c r="C509" s="126">
        <v>0</v>
      </c>
      <c r="D509" s="125">
        <f>M509+O509+(K509*N509)+IF(OR(LEFT(A509)="G",LEFT(A509)="S"),Stats!$E$3-15+Bonuses!$BO$3,IF(OR(LEFT(A509)="Q",LEFT(A509)="R"),Bonuses!$BQ$3,Bonuses!$BP$3))</f>
        <v>30</v>
      </c>
      <c r="E509" s="125">
        <f t="shared" si="41"/>
        <v>4.5</v>
      </c>
      <c r="F509" s="125">
        <f t="shared" si="42"/>
        <v>1.5</v>
      </c>
      <c r="G509" s="84"/>
      <c r="H509" s="85"/>
      <c r="J509" s="394">
        <v>300</v>
      </c>
      <c r="K509" s="80">
        <f>IF(ISERROR(C509*1),-1,C509+IF(LEFT(A509)="T",Bonuses!$BR$3,IF(LEFT(A509)="G",Bonuses!$BS$3,IF(LEFT(A509)="Q",Bonuses!$BT$3,IF(LEFT(A509)="S",Bonuses!$BU$3,IF(LEFT(A509)="R",Bonuses!$BV$3,0))))))+P509</f>
        <v>0</v>
      </c>
      <c r="L509" s="80">
        <v>7</v>
      </c>
      <c r="M509" s="75">
        <v>30</v>
      </c>
      <c r="N509" s="75">
        <v>3</v>
      </c>
      <c r="O509" s="380"/>
      <c r="P509" s="380"/>
      <c r="Q509" s="86">
        <f>MAX((MAX(Stats!$E$2,Ranking!$C$13)-15)*5,0)</f>
        <v>0</v>
      </c>
      <c r="R509" s="83">
        <v>300</v>
      </c>
    </row>
    <row r="510" spans="1:18" x14ac:dyDescent="0.2">
      <c r="A510" s="95" t="s">
        <v>298</v>
      </c>
      <c r="B510" s="79" t="s">
        <v>1146</v>
      </c>
      <c r="C510" s="126">
        <v>0</v>
      </c>
      <c r="D510" s="125">
        <f>M510+O510+(K510*N510)+IF(OR(LEFT(A510)="G",LEFT(A510)="S"),Stats!$E$3-15+Bonuses!$BO$3,IF(OR(LEFT(A510)="Q",LEFT(A510)="R"),Bonuses!$BQ$3,Bonuses!$BP$3))</f>
        <v>40</v>
      </c>
      <c r="E510" s="125">
        <f t="shared" si="41"/>
        <v>6</v>
      </c>
      <c r="F510" s="125">
        <f t="shared" si="42"/>
        <v>2</v>
      </c>
      <c r="G510" s="84"/>
      <c r="H510" s="85"/>
      <c r="J510" s="394">
        <v>300</v>
      </c>
      <c r="K510" s="80">
        <f>IF(ISERROR(C510*1),-1,C510+IF(LEFT(A510)="T",Bonuses!$BR$3,IF(LEFT(A510)="G",Bonuses!$BS$3,IF(LEFT(A510)="Q",Bonuses!$BT$3,IF(LEFT(A510)="S",Bonuses!$BU$3,IF(LEFT(A510)="R",Bonuses!$BV$3,0))))))+P510</f>
        <v>0</v>
      </c>
      <c r="L510" s="80">
        <v>7</v>
      </c>
      <c r="M510" s="75">
        <v>40</v>
      </c>
      <c r="N510" s="75">
        <v>3</v>
      </c>
      <c r="O510" s="380"/>
      <c r="P510" s="380"/>
      <c r="Q510" s="86">
        <f>MAX((MAX(Stats!$E$2,Ranking!$C$13)-15)*5,0)</f>
        <v>0</v>
      </c>
      <c r="R510" s="83">
        <v>300</v>
      </c>
    </row>
    <row r="511" spans="1:18" x14ac:dyDescent="0.2">
      <c r="A511" s="95" t="s">
        <v>299</v>
      </c>
      <c r="B511" s="79" t="s">
        <v>1144</v>
      </c>
      <c r="C511" s="126">
        <v>0</v>
      </c>
      <c r="D511" s="125">
        <f>M511+O511+(K511*N511)+IF(OR(LEFT(A511)="G",LEFT(A511)="S"),Stats!$E$3-15+Bonuses!$BO$3,IF(OR(LEFT(A511)="Q",LEFT(A511)="R"),Bonuses!$BQ$3,Bonuses!$BP$3))</f>
        <v>30</v>
      </c>
      <c r="E511" s="125">
        <f t="shared" si="41"/>
        <v>4.5</v>
      </c>
      <c r="F511" s="125">
        <f t="shared" si="42"/>
        <v>1.5</v>
      </c>
      <c r="G511" s="84" t="str">
        <f>10+(5*K511)&amp;" Miles"</f>
        <v>10 Miles</v>
      </c>
      <c r="H511" s="85"/>
      <c r="J511" s="394">
        <v>250</v>
      </c>
      <c r="K511" s="80">
        <f>IF(ISERROR(C511*1),-1,C511+IF(LEFT(A511)="T",Bonuses!$BR$3,IF(LEFT(A511)="G",Bonuses!$BS$3,IF(LEFT(A511)="Q",Bonuses!$BT$3,IF(LEFT(A511)="S",Bonuses!$BU$3,IF(LEFT(A511)="R",Bonuses!$BV$3,0))))))+P511</f>
        <v>0</v>
      </c>
      <c r="L511" s="80">
        <v>7</v>
      </c>
      <c r="M511" s="75">
        <v>30</v>
      </c>
      <c r="N511" s="75">
        <v>5</v>
      </c>
      <c r="O511" s="380"/>
      <c r="P511" s="380"/>
      <c r="Q511" s="86">
        <f>MAX((MAX(Stats!$E$2,Ranking!$C$13)-15)*5,0)</f>
        <v>0</v>
      </c>
      <c r="R511" s="83">
        <v>300</v>
      </c>
    </row>
    <row r="512" spans="1:18" x14ac:dyDescent="0.2">
      <c r="A512" s="95" t="s">
        <v>300</v>
      </c>
      <c r="B512" s="79" t="s">
        <v>1145</v>
      </c>
      <c r="C512" s="126">
        <v>0</v>
      </c>
      <c r="D512" s="125">
        <f>M512+O512+(K512*N512)+IF(OR(LEFT(A512)="G",LEFT(A512)="S"),Stats!$E$3-15+Bonuses!$BO$3,IF(OR(LEFT(A512)="Q",LEFT(A512)="R"),Bonuses!$BQ$3,Bonuses!$BP$3))</f>
        <v>30</v>
      </c>
      <c r="E512" s="125">
        <f t="shared" si="41"/>
        <v>4.5</v>
      </c>
      <c r="F512" s="125">
        <f t="shared" si="42"/>
        <v>1.5</v>
      </c>
      <c r="G512" s="84" t="s">
        <v>1167</v>
      </c>
      <c r="H512" s="85" t="str">
        <f>1+K512&amp;" Weeks"</f>
        <v>1 Weeks</v>
      </c>
      <c r="I512" s="94" t="str">
        <f>"CT "&amp;MAX(10,120-10*K512)&amp;" mins."</f>
        <v>CT 120 mins.</v>
      </c>
      <c r="J512" s="394">
        <v>200</v>
      </c>
      <c r="K512" s="80">
        <f>IF(ISERROR(C512*1),-1,C512+IF(LEFT(A512)="T",Bonuses!$BR$3,IF(LEFT(A512)="G",Bonuses!$BS$3,IF(LEFT(A512)="Q",Bonuses!$BT$3,IF(LEFT(A512)="S",Bonuses!$BU$3,IF(LEFT(A512)="R",Bonuses!$BV$3,0))))))+P512</f>
        <v>0</v>
      </c>
      <c r="L512" s="80">
        <v>7</v>
      </c>
      <c r="M512" s="75">
        <v>30</v>
      </c>
      <c r="N512" s="75">
        <v>5</v>
      </c>
      <c r="O512" s="380"/>
      <c r="P512" s="380"/>
      <c r="Q512" s="86">
        <f>MAX((MAX(Stats!$E$2,Ranking!$C$13)-15)*5,0)</f>
        <v>0</v>
      </c>
      <c r="R512" s="83">
        <v>300</v>
      </c>
    </row>
    <row r="513" spans="1:18" x14ac:dyDescent="0.2">
      <c r="A513" s="95" t="s">
        <v>267</v>
      </c>
      <c r="B513" s="79" t="s">
        <v>252</v>
      </c>
      <c r="C513" s="126">
        <v>0</v>
      </c>
      <c r="D513" s="125">
        <f>M513+O513+(K513*N513)+IF(OR(LEFT(A513)="G",LEFT(A513)="S"),Stats!$E$3-15+Bonuses!$BO$3,IF(OR(LEFT(A513)="Q",LEFT(A513)="R"),Bonuses!$BQ$3,Bonuses!$BP$3))</f>
        <v>30</v>
      </c>
      <c r="E513" s="125">
        <f t="shared" si="41"/>
        <v>4.5</v>
      </c>
      <c r="F513" s="125">
        <f t="shared" si="42"/>
        <v>1.5</v>
      </c>
      <c r="G513" s="81"/>
      <c r="H513" s="88" t="str">
        <f>4+(4*K513)&amp;" Hours"</f>
        <v>4 Hours</v>
      </c>
      <c r="I513" s="90" t="str">
        <f>"+ "&amp;K513&amp;" MR. +"&amp;TRUNC(K513/5)&amp;" MA."</f>
        <v>+ 0 MR. +0 MA.</v>
      </c>
      <c r="J513" s="394">
        <v>200</v>
      </c>
      <c r="K513" s="80">
        <f>IF(ISERROR(C513*1),-1,C513+IF(LEFT(A513)="T",Bonuses!$BR$3,IF(LEFT(A513)="G",Bonuses!$BS$3,IF(LEFT(A513)="Q",Bonuses!$BT$3,IF(LEFT(A513)="S",Bonuses!$BU$3,IF(LEFT(A513)="R",Bonuses!$BV$3,0))))))+P513</f>
        <v>0</v>
      </c>
      <c r="L513" s="80">
        <v>7</v>
      </c>
      <c r="M513" s="75">
        <f>Stats!$E$3+Stats!$F$3</f>
        <v>30</v>
      </c>
      <c r="N513" s="75">
        <v>3</v>
      </c>
      <c r="O513" s="380"/>
      <c r="P513" s="380"/>
      <c r="Q513" s="86">
        <f>MAX((MAX(Stats!$E$2,Ranking!$C$13)-15)*5,0)</f>
        <v>0</v>
      </c>
      <c r="R513" s="83">
        <v>300</v>
      </c>
    </row>
    <row r="514" spans="1:18" x14ac:dyDescent="0.2">
      <c r="A514" s="95" t="s">
        <v>253</v>
      </c>
      <c r="B514" s="79" t="s">
        <v>615</v>
      </c>
      <c r="C514" s="126" t="s">
        <v>283</v>
      </c>
      <c r="D514" s="125">
        <f>M514+O514+(K514*N514)+IF(OR(LEFT(A514)="G",LEFT(A514)="S"),Stats!$E$3-15+Bonuses!$BO$3,IF(OR(LEFT(A514)="Q",LEFT(A514)="R"),Bonuses!$BQ$3,Bonuses!$BP$3))</f>
        <v>27</v>
      </c>
      <c r="E514" s="125">
        <f t="shared" si="41"/>
        <v>4.05</v>
      </c>
      <c r="F514" s="125">
        <f t="shared" si="42"/>
        <v>1.35</v>
      </c>
      <c r="G514" s="84" t="s">
        <v>679</v>
      </c>
      <c r="H514" s="85" t="s">
        <v>240</v>
      </c>
      <c r="J514" s="394">
        <v>250</v>
      </c>
      <c r="K514" s="80">
        <f>IF(ISERROR(C514*1),-1,C514+IF(LEFT(A514)="T",Bonuses!$BR$3,IF(LEFT(A514)="G",Bonuses!$BS$3,IF(LEFT(A514)="Q",Bonuses!$BT$3,IF(LEFT(A514)="S",Bonuses!$BU$3,IF(LEFT(A514)="R",Bonuses!$BV$3,0))))))+P514</f>
        <v>-1</v>
      </c>
      <c r="L514" s="80">
        <v>1</v>
      </c>
      <c r="M514" s="75">
        <v>30</v>
      </c>
      <c r="N514" s="75">
        <v>3</v>
      </c>
      <c r="O514" s="380"/>
      <c r="P514" s="380"/>
      <c r="R514" s="83">
        <v>10000</v>
      </c>
    </row>
    <row r="515" spans="1:18" x14ac:dyDescent="0.2">
      <c r="A515" s="95" t="s">
        <v>254</v>
      </c>
      <c r="B515" s="79" t="s">
        <v>1142</v>
      </c>
      <c r="C515" s="126" t="s">
        <v>283</v>
      </c>
      <c r="D515" s="125">
        <f>M515+O515+(K515*N515)+IF(OR(LEFT(A515)="G",LEFT(A515)="S"),Stats!$E$3-15+Bonuses!$BO$3,IF(OR(LEFT(A515)="Q",LEFT(A515)="R"),Bonuses!$BQ$3,Bonuses!$BP$3))</f>
        <v>12</v>
      </c>
      <c r="E515" s="125">
        <f t="shared" si="41"/>
        <v>1.7999999999999998</v>
      </c>
      <c r="F515" s="125">
        <f t="shared" si="42"/>
        <v>0.60000000000000009</v>
      </c>
      <c r="G515" s="84" t="s">
        <v>679</v>
      </c>
      <c r="H515" s="85" t="str">
        <f>1+K515&amp;" Hours"</f>
        <v>0 Hours</v>
      </c>
      <c r="J515" s="394">
        <v>300</v>
      </c>
      <c r="K515" s="80">
        <f>IF(ISERROR(C515*1),-1,C515+IF(LEFT(A515)="T",Bonuses!$BR$3,IF(LEFT(A515)="G",Bonuses!$BS$3,IF(LEFT(A515)="Q",Bonuses!$BT$3,IF(LEFT(A515)="S",Bonuses!$BU$3,IF(LEFT(A515)="R",Bonuses!$BV$3,0))))))+P515</f>
        <v>-1</v>
      </c>
      <c r="L515" s="80">
        <v>1</v>
      </c>
      <c r="M515" s="75">
        <v>15</v>
      </c>
      <c r="N515" s="75">
        <v>3</v>
      </c>
      <c r="O515" s="380"/>
      <c r="P515" s="380"/>
    </row>
    <row r="516" spans="1:18" x14ac:dyDescent="0.2">
      <c r="A516" s="95" t="s">
        <v>255</v>
      </c>
      <c r="B516" s="79" t="s">
        <v>1143</v>
      </c>
      <c r="C516" s="126" t="s">
        <v>283</v>
      </c>
      <c r="D516" s="125">
        <f>M516+O516+(K516*N516)+IF(OR(LEFT(A516)="G",LEFT(A516)="S"),Stats!$E$3-15+Bonuses!$BO$3,IF(OR(LEFT(A516)="Q",LEFT(A516)="R"),Bonuses!$BQ$3,Bonuses!$BP$3))</f>
        <v>12</v>
      </c>
      <c r="E516" s="125">
        <f t="shared" si="41"/>
        <v>1.7999999999999998</v>
      </c>
      <c r="F516" s="125">
        <f t="shared" si="42"/>
        <v>0.60000000000000009</v>
      </c>
      <c r="G516" s="84" t="str">
        <f>10+(5*K516)&amp;" Feet"</f>
        <v>5 Feet</v>
      </c>
      <c r="H516" s="85" t="str">
        <f>5+(5*K516)&amp;" Mins"</f>
        <v>0 Mins</v>
      </c>
      <c r="J516" s="394">
        <v>200</v>
      </c>
      <c r="K516" s="80">
        <f>IF(ISERROR(C516*1),-1,C516+IF(LEFT(A516)="T",Bonuses!$BR$3,IF(LEFT(A516)="G",Bonuses!$BS$3,IF(LEFT(A516)="Q",Bonuses!$BT$3,IF(LEFT(A516)="S",Bonuses!$BU$3,IF(LEFT(A516)="R",Bonuses!$BV$3,0))))))+P516</f>
        <v>-1</v>
      </c>
      <c r="L516" s="80">
        <v>1</v>
      </c>
      <c r="M516" s="75">
        <v>15</v>
      </c>
      <c r="N516" s="75">
        <v>3</v>
      </c>
      <c r="O516" s="380"/>
      <c r="P516" s="380"/>
    </row>
    <row r="517" spans="1:18" x14ac:dyDescent="0.2">
      <c r="A517" s="95" t="s">
        <v>256</v>
      </c>
      <c r="B517" s="79" t="s">
        <v>1166</v>
      </c>
      <c r="C517" s="126" t="s">
        <v>283</v>
      </c>
      <c r="D517" s="125">
        <f>M517+O517+(K517*N517)+IF(OR(LEFT(A517)="G",LEFT(A517)="S"),Stats!$E$3-15+Bonuses!$BO$3,IF(OR(LEFT(A517)="Q",LEFT(A517)="R"),Bonuses!$BQ$3,Bonuses!$BP$3))</f>
        <v>17</v>
      </c>
      <c r="E517" s="125">
        <f t="shared" si="41"/>
        <v>2.5499999999999998</v>
      </c>
      <c r="F517" s="125">
        <f t="shared" si="42"/>
        <v>0.85000000000000009</v>
      </c>
      <c r="G517" s="84" t="s">
        <v>679</v>
      </c>
      <c r="H517" s="85" t="str">
        <f>5+K517&amp;" Mins"</f>
        <v>4 Mins</v>
      </c>
      <c r="J517" s="394">
        <v>200</v>
      </c>
      <c r="K517" s="80">
        <f>IF(ISERROR(C517*1),-1,C517+IF(LEFT(A517)="T",Bonuses!$BR$3,IF(LEFT(A517)="G",Bonuses!$BS$3,IF(LEFT(A517)="Q",Bonuses!$BT$3,IF(LEFT(A517)="S",Bonuses!$BU$3,IF(LEFT(A517)="R",Bonuses!$BV$3,0))))))+P517</f>
        <v>-1</v>
      </c>
      <c r="L517" s="80">
        <v>1</v>
      </c>
      <c r="M517" s="75">
        <v>20</v>
      </c>
      <c r="N517" s="75">
        <v>3</v>
      </c>
      <c r="O517" s="380"/>
      <c r="P517" s="380"/>
      <c r="R517" s="83">
        <v>5000</v>
      </c>
    </row>
    <row r="518" spans="1:18" x14ac:dyDescent="0.2">
      <c r="A518" s="95" t="s">
        <v>257</v>
      </c>
      <c r="B518" s="79" t="s">
        <v>1164</v>
      </c>
      <c r="C518" s="126" t="s">
        <v>283</v>
      </c>
      <c r="D518" s="125">
        <f>M518+O518+(K518*N518)+IF(OR(LEFT(A518)="G",LEFT(A518)="S"),Stats!$E$3-15+Bonuses!$BO$3,IF(OR(LEFT(A518)="Q",LEFT(A518)="R"),Bonuses!$BQ$3,Bonuses!$BP$3))</f>
        <v>22</v>
      </c>
      <c r="E518" s="125">
        <f t="shared" si="41"/>
        <v>3.3</v>
      </c>
      <c r="F518" s="125">
        <f t="shared" si="42"/>
        <v>1.1000000000000001</v>
      </c>
      <c r="G518" s="84" t="s">
        <v>679</v>
      </c>
      <c r="H518" s="85" t="str">
        <f>1+K518&amp;" Days"</f>
        <v>0 Days</v>
      </c>
      <c r="J518" s="394">
        <v>300</v>
      </c>
      <c r="K518" s="80">
        <f>IF(ISERROR(C518*1),-1,C518+IF(LEFT(A518)="T",Bonuses!$BR$3,IF(LEFT(A518)="G",Bonuses!$BS$3,IF(LEFT(A518)="Q",Bonuses!$BT$3,IF(LEFT(A518)="S",Bonuses!$BU$3,IF(LEFT(A518)="R",Bonuses!$BV$3,0))))))+P518</f>
        <v>-1</v>
      </c>
      <c r="L518" s="80">
        <v>1</v>
      </c>
      <c r="M518" s="75">
        <v>25</v>
      </c>
      <c r="N518" s="75">
        <v>3</v>
      </c>
      <c r="O518" s="380"/>
      <c r="P518" s="380"/>
    </row>
    <row r="519" spans="1:18" x14ac:dyDescent="0.2">
      <c r="A519" s="95" t="s">
        <v>258</v>
      </c>
      <c r="B519" s="79" t="s">
        <v>1163</v>
      </c>
      <c r="C519" s="126" t="s">
        <v>283</v>
      </c>
      <c r="D519" s="125">
        <f>M519+O519+(K519*N519)+IF(OR(LEFT(A519)="G",LEFT(A519)="S"),Stats!$E$3-15+Bonuses!$BO$3,IF(OR(LEFT(A519)="Q",LEFT(A519)="R"),Bonuses!$BQ$3,Bonuses!$BP$3))</f>
        <v>12</v>
      </c>
      <c r="E519" s="125">
        <f t="shared" si="41"/>
        <v>1.7999999999999998</v>
      </c>
      <c r="F519" s="125">
        <f t="shared" si="42"/>
        <v>0.60000000000000009</v>
      </c>
      <c r="G519" s="84" t="str">
        <f>5+(5*K519)&amp;" Feet"</f>
        <v>0 Feet</v>
      </c>
      <c r="H519" s="85"/>
      <c r="J519" s="394">
        <v>200</v>
      </c>
      <c r="K519" s="80">
        <f>IF(ISERROR(C519*1),-1,C519+IF(LEFT(A519)="T",Bonuses!$BR$3,IF(LEFT(A519)="G",Bonuses!$BS$3,IF(LEFT(A519)="Q",Bonuses!$BT$3,IF(LEFT(A519)="S",Bonuses!$BU$3,IF(LEFT(A519)="R",Bonuses!$BV$3,0))))))+P519</f>
        <v>-1</v>
      </c>
      <c r="L519" s="80">
        <v>1</v>
      </c>
      <c r="M519" s="75">
        <v>15</v>
      </c>
      <c r="N519" s="75">
        <v>3</v>
      </c>
      <c r="O519" s="380"/>
      <c r="P519" s="380"/>
    </row>
    <row r="520" spans="1:18" x14ac:dyDescent="0.2">
      <c r="A520" s="95" t="s">
        <v>259</v>
      </c>
      <c r="B520" s="79" t="s">
        <v>1161</v>
      </c>
      <c r="C520" s="126" t="s">
        <v>283</v>
      </c>
      <c r="D520" s="125">
        <f>M520+O520+(K520*N520)+IF(OR(LEFT(A520)="G",LEFT(A520)="S"),Stats!$E$3-15+Bonuses!$BO$3,IF(OR(LEFT(A520)="Q",LEFT(A520)="R"),Bonuses!$BQ$3,Bonuses!$BP$3))</f>
        <v>27</v>
      </c>
      <c r="E520" s="125">
        <f t="shared" si="41"/>
        <v>4.05</v>
      </c>
      <c r="F520" s="125">
        <f t="shared" si="42"/>
        <v>1.35</v>
      </c>
      <c r="G520" s="84" t="s">
        <v>679</v>
      </c>
      <c r="H520" s="85" t="str">
        <f>1+K520&amp;" Hours"</f>
        <v>0 Hours</v>
      </c>
      <c r="J520" s="394">
        <v>200</v>
      </c>
      <c r="K520" s="80">
        <f>IF(ISERROR(C520*1),-1,C520+IF(LEFT(A520)="T",Bonuses!$BR$3,IF(LEFT(A520)="G",Bonuses!$BS$3,IF(LEFT(A520)="Q",Bonuses!$BT$3,IF(LEFT(A520)="S",Bonuses!$BU$3,IF(LEFT(A520)="R",Bonuses!$BV$3,0))))))+P520</f>
        <v>-1</v>
      </c>
      <c r="L520" s="80">
        <v>1</v>
      </c>
      <c r="M520" s="75">
        <v>30</v>
      </c>
      <c r="N520" s="75">
        <v>3</v>
      </c>
      <c r="O520" s="380"/>
      <c r="P520" s="380"/>
    </row>
    <row r="521" spans="1:18" x14ac:dyDescent="0.2">
      <c r="A521" s="95" t="s">
        <v>260</v>
      </c>
      <c r="B521" s="79" t="s">
        <v>1162</v>
      </c>
      <c r="C521" s="126" t="s">
        <v>283</v>
      </c>
      <c r="D521" s="125">
        <f>M521+O521+(K521*N521)+IF(OR(LEFT(A521)="G",LEFT(A521)="S"),Stats!$E$3-15+Bonuses!$BO$3,IF(OR(LEFT(A521)="Q",LEFT(A521)="R"),Bonuses!$BQ$3,Bonuses!$BP$3))</f>
        <v>27</v>
      </c>
      <c r="E521" s="125">
        <f t="shared" si="41"/>
        <v>4.05</v>
      </c>
      <c r="F521" s="125">
        <f t="shared" si="42"/>
        <v>1.35</v>
      </c>
      <c r="G521" s="84" t="s">
        <v>679</v>
      </c>
      <c r="H521" s="85" t="str">
        <f>10+(10*K521)&amp;" Mins"</f>
        <v>0 Mins</v>
      </c>
      <c r="J521" s="394">
        <v>300</v>
      </c>
      <c r="K521" s="80">
        <f>IF(ISERROR(C521*1),-1,C521+IF(LEFT(A521)="T",Bonuses!$BR$3,IF(LEFT(A521)="G",Bonuses!$BS$3,IF(LEFT(A521)="Q",Bonuses!$BT$3,IF(LEFT(A521)="S",Bonuses!$BU$3,IF(LEFT(A521)="R",Bonuses!$BV$3,0))))))+P521</f>
        <v>-1</v>
      </c>
      <c r="L521" s="80">
        <v>1</v>
      </c>
      <c r="M521" s="75">
        <v>30</v>
      </c>
      <c r="N521" s="75">
        <v>3</v>
      </c>
      <c r="O521" s="380"/>
      <c r="P521" s="380"/>
      <c r="R521" s="83">
        <v>5000</v>
      </c>
    </row>
    <row r="522" spans="1:18" x14ac:dyDescent="0.2">
      <c r="A522" s="95" t="s">
        <v>261</v>
      </c>
      <c r="B522" s="79" t="s">
        <v>1165</v>
      </c>
      <c r="C522" s="126" t="s">
        <v>283</v>
      </c>
      <c r="D522" s="125">
        <f>M522+O522+(K522*N522)+IF(OR(LEFT(A522)="G",LEFT(A522)="S"),Stats!$E$3-15+Bonuses!$BO$3,IF(OR(LEFT(A522)="Q",LEFT(A522)="R"),Bonuses!$BQ$3,Bonuses!$BP$3))</f>
        <v>32</v>
      </c>
      <c r="E522" s="125">
        <f t="shared" si="41"/>
        <v>4.8</v>
      </c>
      <c r="F522" s="125">
        <f t="shared" si="42"/>
        <v>1.6</v>
      </c>
      <c r="G522" s="84" t="str">
        <f>15+(15*K522)&amp;" Feet"</f>
        <v>0 Feet</v>
      </c>
      <c r="H522" s="85" t="str">
        <f>"&lt;"&amp;2*K522&amp;" Hours"</f>
        <v>&lt;-2 Hours</v>
      </c>
      <c r="I522" s="94" t="str">
        <f>"Heal 3 EN / pulse for "&amp;1+K522+2&amp;" pulses"</f>
        <v>Heal 3 EN / pulse for 2 pulses</v>
      </c>
      <c r="J522" s="394">
        <v>450</v>
      </c>
      <c r="K522" s="80">
        <f>IF(ISERROR(C522*1),-1,C522+IF(LEFT(A522)="T",Bonuses!$BR$3,IF(LEFT(A522)="G",Bonuses!$BS$3,IF(LEFT(A522)="Q",Bonuses!$BT$3,IF(LEFT(A522)="S",Bonuses!$BU$3,IF(LEFT(A522)="R",Bonuses!$BV$3,0))))))+P522</f>
        <v>-1</v>
      </c>
      <c r="L522" s="80">
        <v>1</v>
      </c>
      <c r="M522" s="75">
        <v>35</v>
      </c>
      <c r="N522" s="75">
        <v>3</v>
      </c>
      <c r="O522" s="380"/>
      <c r="P522" s="380"/>
    </row>
    <row r="523" spans="1:18" x14ac:dyDescent="0.2">
      <c r="A523" s="95" t="s">
        <v>262</v>
      </c>
      <c r="B523" s="79" t="s">
        <v>1160</v>
      </c>
      <c r="C523" s="126" t="s">
        <v>283</v>
      </c>
      <c r="D523" s="125">
        <f>M523+O523+(K523*N523)+IF(OR(LEFT(A523)="G",LEFT(A523)="S"),Stats!$E$3-15+Bonuses!$BO$3,IF(OR(LEFT(A523)="Q",LEFT(A523)="R"),Bonuses!$BQ$3,Bonuses!$BP$3))</f>
        <v>37</v>
      </c>
      <c r="E523" s="125">
        <f t="shared" si="41"/>
        <v>5.55</v>
      </c>
      <c r="F523" s="125">
        <f t="shared" si="42"/>
        <v>1.85</v>
      </c>
      <c r="G523" s="84" t="s">
        <v>679</v>
      </c>
      <c r="H523" s="85" t="str">
        <f>1+K523&amp;" Hours"</f>
        <v>0 Hours</v>
      </c>
      <c r="J523" s="394">
        <v>250</v>
      </c>
      <c r="K523" s="80">
        <f>IF(ISERROR(C523*1),-1,C523+IF(LEFT(A523)="T",Bonuses!$BR$3,IF(LEFT(A523)="G",Bonuses!$BS$3,IF(LEFT(A523)="Q",Bonuses!$BT$3,IF(LEFT(A523)="S",Bonuses!$BU$3,IF(LEFT(A523)="R",Bonuses!$BV$3,0))))))+P523</f>
        <v>-1</v>
      </c>
      <c r="L523" s="80">
        <v>1</v>
      </c>
      <c r="M523" s="75">
        <v>40</v>
      </c>
      <c r="N523" s="75">
        <v>3</v>
      </c>
      <c r="O523" s="380"/>
      <c r="P523" s="380"/>
      <c r="R523" s="83">
        <v>5000</v>
      </c>
    </row>
    <row r="524" spans="1:18" x14ac:dyDescent="0.2">
      <c r="A524" s="95" t="s">
        <v>263</v>
      </c>
      <c r="B524" s="79" t="s">
        <v>1159</v>
      </c>
      <c r="C524" s="126" t="s">
        <v>283</v>
      </c>
      <c r="D524" s="125">
        <f>M524+O524+(K524*N524)+IF(OR(LEFT(A524)="G",LEFT(A524)="S"),Stats!$E$3-15+Bonuses!$BO$3,IF(OR(LEFT(A524)="Q",LEFT(A524)="R"),Bonuses!$BQ$3,Bonuses!$BP$3))</f>
        <v>17</v>
      </c>
      <c r="E524" s="125">
        <f t="shared" si="41"/>
        <v>2.5499999999999998</v>
      </c>
      <c r="F524" s="125">
        <f t="shared" si="42"/>
        <v>0.85000000000000009</v>
      </c>
      <c r="G524" s="84" t="s">
        <v>679</v>
      </c>
      <c r="H524" s="85" t="str">
        <f>1/2+K524/2&amp;" Hours"</f>
        <v>0 Hours</v>
      </c>
      <c r="J524" s="394">
        <v>250</v>
      </c>
      <c r="K524" s="80">
        <f>IF(ISERROR(C524*1),-1,C524+IF(LEFT(A524)="T",Bonuses!$BR$3,IF(LEFT(A524)="G",Bonuses!$BS$3,IF(LEFT(A524)="Q",Bonuses!$BT$3,IF(LEFT(A524)="S",Bonuses!$BU$3,IF(LEFT(A524)="R",Bonuses!$BV$3,0))))))+P524</f>
        <v>-1</v>
      </c>
      <c r="L524" s="80">
        <v>1</v>
      </c>
      <c r="M524" s="75">
        <v>20</v>
      </c>
      <c r="N524" s="75">
        <v>3</v>
      </c>
      <c r="O524" s="380"/>
      <c r="P524" s="380"/>
      <c r="R524" s="83">
        <v>3000</v>
      </c>
    </row>
    <row r="525" spans="1:18" x14ac:dyDescent="0.2">
      <c r="A525" s="95" t="s">
        <v>264</v>
      </c>
      <c r="B525" s="79" t="s">
        <v>1158</v>
      </c>
      <c r="C525" s="126" t="s">
        <v>283</v>
      </c>
      <c r="D525" s="125">
        <f>M525+O525+(K525*N525)+IF(OR(LEFT(A525)="G",LEFT(A525)="S"),Stats!$E$3-15+Bonuses!$BO$3,IF(OR(LEFT(A525)="Q",LEFT(A525)="R"),Bonuses!$BQ$3,Bonuses!$BP$3))</f>
        <v>2</v>
      </c>
      <c r="E525" s="125">
        <f t="shared" si="41"/>
        <v>0.3</v>
      </c>
      <c r="F525" s="125">
        <f t="shared" si="42"/>
        <v>0.1</v>
      </c>
      <c r="G525" s="84" t="s">
        <v>679</v>
      </c>
      <c r="H525" s="85" t="str">
        <f>10+10*K525&amp;" Secs"</f>
        <v>0 Secs</v>
      </c>
      <c r="J525" s="394">
        <v>650</v>
      </c>
      <c r="K525" s="80">
        <f>IF(ISERROR(C525*1),-1,C525+IF(LEFT(A525)="T",Bonuses!$BR$3,IF(LEFT(A525)="G",Bonuses!$BS$3,IF(LEFT(A525)="Q",Bonuses!$BT$3,IF(LEFT(A525)="S",Bonuses!$BU$3,IF(LEFT(A525)="R",Bonuses!$BV$3,0))))))+P525</f>
        <v>-1</v>
      </c>
      <c r="L525" s="80">
        <v>1</v>
      </c>
      <c r="M525" s="75">
        <v>5</v>
      </c>
      <c r="N525" s="75">
        <v>3</v>
      </c>
      <c r="O525" s="380"/>
      <c r="P525" s="380"/>
    </row>
    <row r="526" spans="1:18" x14ac:dyDescent="0.2">
      <c r="A526" s="95" t="s">
        <v>700</v>
      </c>
      <c r="B526" s="79" t="s">
        <v>1156</v>
      </c>
      <c r="C526" s="126" t="s">
        <v>283</v>
      </c>
      <c r="D526" s="125">
        <f>M526+O526+(K526*N526)+IF(OR(LEFT(A526)="G",LEFT(A526)="S"),Stats!$E$3-15+Bonuses!$BO$3,IF(OR(LEFT(A526)="Q",LEFT(A526)="R"),Bonuses!$BQ$3,Bonuses!$BP$3))</f>
        <v>27</v>
      </c>
      <c r="E526" s="125">
        <f t="shared" si="41"/>
        <v>4.05</v>
      </c>
      <c r="F526" s="125">
        <f t="shared" si="42"/>
        <v>1.35</v>
      </c>
      <c r="G526" s="84" t="s">
        <v>1168</v>
      </c>
      <c r="H526" s="85" t="str">
        <f>10+10*K526&amp;" Mins"</f>
        <v>0 Mins</v>
      </c>
      <c r="J526" s="394">
        <v>200</v>
      </c>
      <c r="K526" s="80">
        <f>IF(ISERROR(C526*1),-1,C526+IF(LEFT(A526)="T",Bonuses!$BR$3,IF(LEFT(A526)="G",Bonuses!$BS$3,IF(LEFT(A526)="Q",Bonuses!$BT$3,IF(LEFT(A526)="S",Bonuses!$BU$3,IF(LEFT(A526)="R",Bonuses!$BV$3,0))))))+P526</f>
        <v>-1</v>
      </c>
      <c r="L526" s="80">
        <v>1</v>
      </c>
      <c r="M526" s="75">
        <v>30</v>
      </c>
      <c r="N526" s="75">
        <v>3</v>
      </c>
      <c r="O526" s="380"/>
      <c r="P526" s="380"/>
    </row>
    <row r="527" spans="1:18" x14ac:dyDescent="0.2">
      <c r="A527" s="95" t="s">
        <v>702</v>
      </c>
      <c r="B527" s="79" t="s">
        <v>1154</v>
      </c>
      <c r="C527" s="126" t="s">
        <v>283</v>
      </c>
      <c r="D527" s="125">
        <f>M527+O527+(K527*N527)+IF(OR(LEFT(A527)="G",LEFT(A527)="S"),Stats!$E$3-15+Bonuses!$BO$3,IF(OR(LEFT(A527)="Q",LEFT(A527)="R"),Bonuses!$BQ$3,Bonuses!$BP$3))</f>
        <v>12</v>
      </c>
      <c r="E527" s="125">
        <f t="shared" si="41"/>
        <v>1.7999999999999998</v>
      </c>
      <c r="F527" s="125">
        <f t="shared" si="42"/>
        <v>0.60000000000000009</v>
      </c>
      <c r="G527" s="84" t="str">
        <f>15+(15*K527)&amp;" Feet"</f>
        <v>0 Feet</v>
      </c>
      <c r="H527" s="85" t="s">
        <v>240</v>
      </c>
      <c r="J527" s="394">
        <v>250</v>
      </c>
      <c r="K527" s="80">
        <f>IF(ISERROR(C527*1),-1,C527+IF(LEFT(A527)="T",Bonuses!$BR$3,IF(LEFT(A527)="G",Bonuses!$BS$3,IF(LEFT(A527)="Q",Bonuses!$BT$3,IF(LEFT(A527)="S",Bonuses!$BU$3,IF(LEFT(A527)="R",Bonuses!$BV$3,0))))))+P527</f>
        <v>-1</v>
      </c>
      <c r="L527" s="80">
        <v>1</v>
      </c>
      <c r="M527" s="75">
        <v>15</v>
      </c>
      <c r="N527" s="75">
        <v>3</v>
      </c>
      <c r="O527" s="380"/>
      <c r="P527" s="380"/>
      <c r="R527" s="83">
        <v>5000</v>
      </c>
    </row>
    <row r="528" spans="1:18" x14ac:dyDescent="0.2">
      <c r="A528" s="95" t="s">
        <v>735</v>
      </c>
      <c r="B528" s="79" t="s">
        <v>1155</v>
      </c>
      <c r="C528" s="126" t="s">
        <v>283</v>
      </c>
      <c r="D528" s="125">
        <f>M528+O528+(K528*N528)+IF(OR(LEFT(A528)="G",LEFT(A528)="S"),Stats!$E$3-15+Bonuses!$BO$3,IF(OR(LEFT(A528)="Q",LEFT(A528)="R"),Bonuses!$BQ$3,Bonuses!$BP$3))</f>
        <v>2</v>
      </c>
      <c r="E528" s="125">
        <f t="shared" si="41"/>
        <v>0.3</v>
      </c>
      <c r="F528" s="125">
        <f t="shared" si="42"/>
        <v>0.1</v>
      </c>
      <c r="G528" s="84" t="str">
        <f>10+(5*K528)&amp;" Feet"</f>
        <v>5 Feet</v>
      </c>
      <c r="H528" s="85" t="str">
        <f>1+K528&amp;" Mins"</f>
        <v>0 Mins</v>
      </c>
      <c r="J528" s="394">
        <v>250</v>
      </c>
      <c r="K528" s="80">
        <f>IF(ISERROR(C528*1),-1,C528+IF(LEFT(A528)="T",Bonuses!$BR$3,IF(LEFT(A528)="G",Bonuses!$BS$3,IF(LEFT(A528)="Q",Bonuses!$BT$3,IF(LEFT(A528)="S",Bonuses!$BU$3,IF(LEFT(A528)="R",Bonuses!$BV$3,0))))))+P528</f>
        <v>-1</v>
      </c>
      <c r="L528" s="80">
        <v>1</v>
      </c>
      <c r="M528" s="75">
        <v>5</v>
      </c>
      <c r="N528" s="75">
        <v>3</v>
      </c>
      <c r="O528" s="380"/>
      <c r="P528" s="380"/>
    </row>
    <row r="529" spans="1:18" x14ac:dyDescent="0.2">
      <c r="A529" s="95" t="s">
        <v>737</v>
      </c>
      <c r="B529" s="79" t="s">
        <v>1157</v>
      </c>
      <c r="C529" s="126" t="s">
        <v>283</v>
      </c>
      <c r="D529" s="125">
        <f>M529+O529+(K529*N529)+IF(OR(LEFT(A529)="G",LEFT(A529)="S"),Stats!$E$3-15+Bonuses!$BO$3,IF(OR(LEFT(A529)="Q",LEFT(A529)="R"),Bonuses!$BQ$3,Bonuses!$BP$3))</f>
        <v>12</v>
      </c>
      <c r="E529" s="125">
        <f t="shared" si="41"/>
        <v>1.7999999999999998</v>
      </c>
      <c r="F529" s="125">
        <f t="shared" si="42"/>
        <v>0.60000000000000009</v>
      </c>
      <c r="G529" s="84" t="str">
        <f>1+K529&amp;" Miles"</f>
        <v>0 Miles</v>
      </c>
      <c r="H529" s="85" t="str">
        <f>"Con &lt;"&amp;1+K529&amp;" Hours"</f>
        <v>Con &lt;0 Hours</v>
      </c>
      <c r="J529" s="394">
        <v>300</v>
      </c>
      <c r="K529" s="80">
        <f>IF(ISERROR(C529*1),-1,C529+IF(LEFT(A529)="T",Bonuses!$BR$3,IF(LEFT(A529)="G",Bonuses!$BS$3,IF(LEFT(A529)="Q",Bonuses!$BT$3,IF(LEFT(A529)="S",Bonuses!$BU$3,IF(LEFT(A529)="R",Bonuses!$BV$3,0))))))+P529</f>
        <v>-1</v>
      </c>
      <c r="L529" s="80">
        <v>1</v>
      </c>
      <c r="M529" s="75">
        <v>15</v>
      </c>
      <c r="N529" s="75">
        <v>3</v>
      </c>
      <c r="O529" s="380"/>
      <c r="P529" s="380"/>
      <c r="R529" s="83">
        <v>5000</v>
      </c>
    </row>
    <row r="530" spans="1:18" x14ac:dyDescent="0.2">
      <c r="A530" s="95" t="s">
        <v>739</v>
      </c>
      <c r="B530" s="79" t="s">
        <v>1153</v>
      </c>
      <c r="C530" s="126" t="s">
        <v>283</v>
      </c>
      <c r="D530" s="125">
        <f>M530+O530+(K530*N530)+IF(OR(LEFT(A530)="G",LEFT(A530)="S"),Stats!$E$3-15+Bonuses!$BO$3,IF(OR(LEFT(A530)="Q",LEFT(A530)="R"),Bonuses!$BQ$3,Bonuses!$BP$3))</f>
        <v>17</v>
      </c>
      <c r="E530" s="125">
        <f t="shared" si="41"/>
        <v>2.5499999999999998</v>
      </c>
      <c r="F530" s="125">
        <f t="shared" si="42"/>
        <v>0.85000000000000009</v>
      </c>
      <c r="G530" s="84" t="s">
        <v>679</v>
      </c>
      <c r="H530" s="85" t="str">
        <f>1+K530&amp;" Hours"</f>
        <v>0 Hours</v>
      </c>
      <c r="J530" s="394">
        <v>100</v>
      </c>
      <c r="K530" s="80">
        <f>IF(ISERROR(C530*1),-1,C530+IF(LEFT(A530)="T",Bonuses!$BR$3,IF(LEFT(A530)="G",Bonuses!$BS$3,IF(LEFT(A530)="Q",Bonuses!$BT$3,IF(LEFT(A530)="S",Bonuses!$BU$3,IF(LEFT(A530)="R",Bonuses!$BV$3,0))))))+P530</f>
        <v>-1</v>
      </c>
      <c r="L530" s="80">
        <v>1</v>
      </c>
      <c r="M530" s="75">
        <v>20</v>
      </c>
      <c r="N530" s="75">
        <v>3</v>
      </c>
      <c r="O530" s="380"/>
      <c r="P530" s="380"/>
    </row>
    <row r="531" spans="1:18" x14ac:dyDescent="0.2">
      <c r="A531" s="95" t="s">
        <v>625</v>
      </c>
      <c r="B531" s="79" t="s">
        <v>1151</v>
      </c>
      <c r="C531" s="126" t="s">
        <v>283</v>
      </c>
      <c r="D531" s="125">
        <f>M531+O531+(K531*N531)+IF(OR(LEFT(A531)="G",LEFT(A531)="S"),Stats!$E$3-15+Bonuses!$BO$3,IF(OR(LEFT(A531)="Q",LEFT(A531)="R"),Bonuses!$BQ$3,Bonuses!$BP$3))</f>
        <v>12</v>
      </c>
      <c r="E531" s="125">
        <f t="shared" si="41"/>
        <v>1.7999999999999998</v>
      </c>
      <c r="F531" s="125">
        <f t="shared" si="42"/>
        <v>0.60000000000000009</v>
      </c>
      <c r="G531" s="84"/>
      <c r="H531" s="85" t="str">
        <f>2+2*K531&amp;" Hours"</f>
        <v>0 Hours</v>
      </c>
      <c r="J531" s="394">
        <v>500</v>
      </c>
      <c r="K531" s="80">
        <f>IF(ISERROR(C531*1),-1,C531+IF(LEFT(A531)="T",Bonuses!$BR$3,IF(LEFT(A531)="G",Bonuses!$BS$3,IF(LEFT(A531)="Q",Bonuses!$BT$3,IF(LEFT(A531)="S",Bonuses!$BU$3,IF(LEFT(A531)="R",Bonuses!$BV$3,0))))))+P531</f>
        <v>-1</v>
      </c>
      <c r="L531" s="80">
        <v>7</v>
      </c>
      <c r="M531" s="75">
        <f>Stats!$E$3</f>
        <v>15</v>
      </c>
      <c r="N531" s="75">
        <v>3</v>
      </c>
      <c r="O531" s="380"/>
      <c r="P531" s="380"/>
      <c r="R531" s="83">
        <v>50000</v>
      </c>
    </row>
    <row r="532" spans="1:18" x14ac:dyDescent="0.2">
      <c r="A532" s="95" t="s">
        <v>627</v>
      </c>
      <c r="B532" s="79" t="s">
        <v>1152</v>
      </c>
      <c r="C532" s="126" t="s">
        <v>283</v>
      </c>
      <c r="D532" s="125">
        <f>M532+O532+(K532*N532)+IF(OR(LEFT(A532)="G",LEFT(A532)="S"),Stats!$E$3-15+Bonuses!$BO$3,IF(OR(LEFT(A532)="Q",LEFT(A532)="R"),Bonuses!$BQ$3,Bonuses!$BP$3))</f>
        <v>12</v>
      </c>
      <c r="E532" s="125">
        <f t="shared" si="41"/>
        <v>1.7999999999999998</v>
      </c>
      <c r="F532" s="125">
        <f t="shared" si="42"/>
        <v>0.60000000000000009</v>
      </c>
      <c r="G532" s="84"/>
      <c r="H532" s="85" t="s">
        <v>1053</v>
      </c>
      <c r="K532" s="80">
        <f>IF(ISERROR(C532*1),-1,C532+IF(LEFT(A532)="T",Bonuses!$BR$3,IF(LEFT(A532)="G",Bonuses!$BS$3,IF(LEFT(A532)="Q",Bonuses!$BT$3,IF(LEFT(A532)="S",Bonuses!$BU$3,IF(LEFT(A532)="R",Bonuses!$BV$3,0))))))+P532</f>
        <v>-1</v>
      </c>
      <c r="L532" s="80">
        <v>7</v>
      </c>
      <c r="M532" s="75">
        <f>Stats!$E$3</f>
        <v>15</v>
      </c>
      <c r="N532" s="75">
        <v>3</v>
      </c>
      <c r="O532" s="380"/>
      <c r="P532" s="380"/>
    </row>
    <row r="533" spans="1:18" x14ac:dyDescent="0.2">
      <c r="A533" s="95" t="s">
        <v>629</v>
      </c>
      <c r="B533" s="79" t="s">
        <v>1150</v>
      </c>
      <c r="C533" s="126" t="s">
        <v>283</v>
      </c>
      <c r="D533" s="125">
        <f>M533+O533+(K533*N533)+IF(OR(LEFT(A533)="G",LEFT(A533)="S"),Stats!$E$3-15+Bonuses!$BO$3,IF(OR(LEFT(A533)="Q",LEFT(A533)="R"),Bonuses!$BQ$3,Bonuses!$BP$3))</f>
        <v>0</v>
      </c>
      <c r="E533" s="125">
        <f t="shared" si="41"/>
        <v>0</v>
      </c>
      <c r="F533" s="125">
        <f t="shared" si="42"/>
        <v>0</v>
      </c>
      <c r="G533" s="84"/>
      <c r="H533" s="85"/>
      <c r="J533" s="394">
        <v>500</v>
      </c>
      <c r="K533" s="80">
        <f>IF(ISERROR(C533*1),-1,C533+IF(LEFT(A533)="T",Bonuses!$BR$3,IF(LEFT(A533)="G",Bonuses!$BS$3,IF(LEFT(A533)="Q",Bonuses!$BT$3,IF(LEFT(A533)="S",Bonuses!$BU$3,IF(LEFT(A533)="R",Bonuses!$BV$3,0))))))+P533</f>
        <v>-1</v>
      </c>
      <c r="L533" s="80">
        <v>7</v>
      </c>
      <c r="M533" s="75">
        <v>5</v>
      </c>
      <c r="N533" s="75">
        <v>5</v>
      </c>
      <c r="O533" s="380"/>
      <c r="P533" s="380"/>
      <c r="R533" s="83">
        <v>15000</v>
      </c>
    </row>
    <row r="534" spans="1:18" x14ac:dyDescent="0.2">
      <c r="A534" s="95" t="s">
        <v>632</v>
      </c>
      <c r="B534" s="79" t="s">
        <v>882</v>
      </c>
      <c r="C534" s="126" t="s">
        <v>283</v>
      </c>
      <c r="D534" s="125">
        <f>M534+O534+(K534*N534)+IF(OR(LEFT(A534)="G",LEFT(A534)="S"),Stats!$E$3-15+Bonuses!$BO$3,IF(OR(LEFT(A534)="Q",LEFT(A534)="R"),Bonuses!$BQ$3,Bonuses!$BP$3))</f>
        <v>16</v>
      </c>
      <c r="E534" s="125">
        <f t="shared" si="41"/>
        <v>2.4</v>
      </c>
      <c r="F534" s="125">
        <f t="shared" si="42"/>
        <v>0.8</v>
      </c>
      <c r="G534" s="84"/>
      <c r="H534" s="85"/>
      <c r="J534" s="394">
        <v>450</v>
      </c>
      <c r="K534" s="80">
        <f>IF(ISERROR(C534*1),-1,C534+IF(LEFT(A534)="T",Bonuses!$BR$3,IF(LEFT(A534)="G",Bonuses!$BS$3,IF(LEFT(A534)="Q",Bonuses!$BT$3,IF(LEFT(A534)="S",Bonuses!$BU$3,IF(LEFT(A534)="R",Bonuses!$BV$3,0))))))+P534</f>
        <v>-1</v>
      </c>
      <c r="L534" s="80">
        <v>7</v>
      </c>
      <c r="M534" s="75">
        <v>20</v>
      </c>
      <c r="N534" s="75">
        <v>4</v>
      </c>
      <c r="O534" s="380"/>
      <c r="P534" s="380"/>
      <c r="R534" s="83">
        <v>10000</v>
      </c>
    </row>
    <row r="535" spans="1:18" x14ac:dyDescent="0.2">
      <c r="A535" s="95" t="s">
        <v>634</v>
      </c>
      <c r="B535" s="79" t="s">
        <v>1148</v>
      </c>
      <c r="C535" s="126" t="s">
        <v>283</v>
      </c>
      <c r="D535" s="125">
        <f>M535+O535+(K535*N535)+IF(OR(LEFT(A535)="G",LEFT(A535)="S"),Stats!$E$3-15+Bonuses!$BO$3,IF(OR(LEFT(A535)="Q",LEFT(A535)="R"),Bonuses!$BQ$3,Bonuses!$BP$3))</f>
        <v>27</v>
      </c>
      <c r="E535" s="125">
        <f t="shared" si="41"/>
        <v>4.05</v>
      </c>
      <c r="F535" s="125">
        <f t="shared" si="42"/>
        <v>1.35</v>
      </c>
      <c r="G535" s="84" t="s">
        <v>679</v>
      </c>
      <c r="H535" s="85" t="s">
        <v>240</v>
      </c>
      <c r="J535" s="394">
        <v>300</v>
      </c>
      <c r="K535" s="80">
        <f>IF(ISERROR(C535*1),-1,C535+IF(LEFT(A535)="T",Bonuses!$BR$3,IF(LEFT(A535)="G",Bonuses!$BS$3,IF(LEFT(A535)="Q",Bonuses!$BT$3,IF(LEFT(A535)="S",Bonuses!$BU$3,IF(LEFT(A535)="R",Bonuses!$BV$3,0))))))+P535</f>
        <v>-1</v>
      </c>
      <c r="L535" s="80">
        <v>7</v>
      </c>
      <c r="M535" s="75">
        <f>Stats!$E$3*2</f>
        <v>30</v>
      </c>
      <c r="N535" s="75">
        <v>3</v>
      </c>
      <c r="O535" s="380"/>
      <c r="P535" s="380"/>
    </row>
    <row r="536" spans="1:18" x14ac:dyDescent="0.2">
      <c r="A536" s="95" t="s">
        <v>636</v>
      </c>
      <c r="B536" s="79" t="s">
        <v>1149</v>
      </c>
      <c r="C536" s="126" t="s">
        <v>283</v>
      </c>
      <c r="D536" s="125">
        <f>M536+O536+(K536*N536)+IF(OR(LEFT(A536)="G",LEFT(A536)="S"),Stats!$E$3-15+Bonuses!$BO$3,IF(OR(LEFT(A536)="Q",LEFT(A536)="R"),Bonuses!$BQ$3,Bonuses!$BP$3))</f>
        <v>10</v>
      </c>
      <c r="E536" s="125">
        <f t="shared" si="41"/>
        <v>1.5</v>
      </c>
      <c r="F536" s="125">
        <f t="shared" si="42"/>
        <v>0.5</v>
      </c>
      <c r="G536" s="84"/>
      <c r="H536" s="85"/>
      <c r="J536" s="394">
        <v>400</v>
      </c>
      <c r="K536" s="80">
        <f>IF(ISERROR(C536*1),-1,C536+IF(LEFT(A536)="T",Bonuses!$BR$3,IF(LEFT(A536)="G",Bonuses!$BS$3,IF(LEFT(A536)="Q",Bonuses!$BT$3,IF(LEFT(A536)="S",Bonuses!$BU$3,IF(LEFT(A536)="R",Bonuses!$BV$3,0))))))+P536</f>
        <v>-1</v>
      </c>
      <c r="L536" s="80">
        <v>7</v>
      </c>
      <c r="M536" s="75">
        <f>Stats!$E$3</f>
        <v>15</v>
      </c>
      <c r="N536" s="75">
        <v>5</v>
      </c>
      <c r="O536" s="380"/>
      <c r="P536" s="380"/>
      <c r="R536" s="83">
        <v>30000</v>
      </c>
    </row>
    <row r="537" spans="1:18" x14ac:dyDescent="0.2">
      <c r="A537" s="95" t="s">
        <v>639</v>
      </c>
      <c r="B537" s="79" t="s">
        <v>1147</v>
      </c>
      <c r="C537" s="126" t="s">
        <v>283</v>
      </c>
      <c r="D537" s="125">
        <f>M537+O537+(K537*N537)+IF(OR(LEFT(A537)="G",LEFT(A537)="S"),Stats!$E$3-15+Bonuses!$BO$3,IF(OR(LEFT(A537)="Q",LEFT(A537)="R"),Bonuses!$BQ$3,Bonuses!$BP$3))</f>
        <v>12</v>
      </c>
      <c r="E537" s="125">
        <f t="shared" si="41"/>
        <v>1.7999999999999998</v>
      </c>
      <c r="F537" s="125">
        <f t="shared" si="42"/>
        <v>0.60000000000000009</v>
      </c>
      <c r="G537" s="84"/>
      <c r="H537" s="85"/>
      <c r="J537" s="394">
        <v>500</v>
      </c>
      <c r="K537" s="80">
        <f>IF(ISERROR(C537*1),-1,C537+IF(LEFT(A537)="T",Bonuses!$BR$3,IF(LEFT(A537)="G",Bonuses!$BS$3,IF(LEFT(A537)="Q",Bonuses!$BT$3,IF(LEFT(A537)="S",Bonuses!$BU$3,IF(LEFT(A537)="R",Bonuses!$BV$3,0))))))+P537</f>
        <v>-1</v>
      </c>
      <c r="L537" s="80">
        <v>7</v>
      </c>
      <c r="M537" s="75">
        <f>Stats!$E$3</f>
        <v>15</v>
      </c>
      <c r="N537" s="75">
        <v>3</v>
      </c>
      <c r="O537" s="380"/>
      <c r="P537" s="380"/>
    </row>
    <row r="539" spans="1:18" ht="15" customHeight="1" x14ac:dyDescent="0.2">
      <c r="A539" s="73"/>
      <c r="B539" s="73" t="s">
        <v>1102</v>
      </c>
      <c r="C539" s="74" t="s">
        <v>149</v>
      </c>
      <c r="D539" s="97" t="s">
        <v>231</v>
      </c>
      <c r="E539" s="97" t="s">
        <v>265</v>
      </c>
      <c r="F539" s="97" t="s">
        <v>266</v>
      </c>
      <c r="G539" s="74" t="s">
        <v>2</v>
      </c>
      <c r="H539" s="74" t="s">
        <v>232</v>
      </c>
      <c r="I539" s="74" t="s">
        <v>234</v>
      </c>
      <c r="J539" s="393" t="s">
        <v>233</v>
      </c>
      <c r="K539" s="75" t="s">
        <v>149</v>
      </c>
      <c r="L539" s="75" t="s">
        <v>235</v>
      </c>
      <c r="M539" s="75" t="s">
        <v>236</v>
      </c>
      <c r="N539" s="76" t="s">
        <v>269</v>
      </c>
      <c r="O539" s="3" t="s">
        <v>169</v>
      </c>
      <c r="P539" s="3" t="s">
        <v>171</v>
      </c>
      <c r="Q539" s="77" t="s">
        <v>237</v>
      </c>
      <c r="R539" s="78" t="s">
        <v>238</v>
      </c>
    </row>
    <row r="540" spans="1:18" x14ac:dyDescent="0.2">
      <c r="A540" s="95" t="s">
        <v>239</v>
      </c>
      <c r="B540" s="79" t="s">
        <v>842</v>
      </c>
      <c r="C540" s="126">
        <v>0</v>
      </c>
      <c r="D540" s="125"/>
      <c r="E540" s="125">
        <f t="shared" ref="E540:E584" si="43">D540*0.15</f>
        <v>0</v>
      </c>
      <c r="F540" s="125">
        <f t="shared" ref="F540:F584" si="44">D540*0.05</f>
        <v>0</v>
      </c>
      <c r="G540" s="84" t="str">
        <f>15*(1+K540)&amp;" Feet"</f>
        <v>15 Feet</v>
      </c>
      <c r="J540" s="394">
        <v>150</v>
      </c>
      <c r="K540" s="80">
        <f>IF(ISERROR(C540*1),-1,C540+IF(LEFT(A540)="T",Bonuses!$BR$3,IF(LEFT(A540)="G",Bonuses!$BS$3,IF(LEFT(A540)="Q",Bonuses!$BT$3,IF(LEFT(A540)="S",Bonuses!$BU$3,IF(LEFT(A540)="R",Bonuses!$BV$3,0))))))+P540</f>
        <v>0</v>
      </c>
      <c r="L540" s="80">
        <v>0</v>
      </c>
      <c r="O540" s="380"/>
      <c r="P540" s="380"/>
    </row>
    <row r="541" spans="1:18" x14ac:dyDescent="0.2">
      <c r="A541" s="95" t="s">
        <v>611</v>
      </c>
      <c r="B541" s="79" t="s">
        <v>843</v>
      </c>
      <c r="C541" s="126">
        <v>0</v>
      </c>
      <c r="D541" s="125">
        <f>M541+O541+(K541*N541)+IF(OR(LEFT(A541)="G",LEFT(A541)="S"),Stats!$E$3-15+Bonuses!$BO$3,IF(OR(LEFT(A541)="Q",LEFT(A541)="R"),Bonuses!$BQ$3,Bonuses!$BP$3))</f>
        <v>0</v>
      </c>
      <c r="E541" s="125">
        <f t="shared" si="43"/>
        <v>0</v>
      </c>
      <c r="F541" s="125">
        <f t="shared" si="44"/>
        <v>0</v>
      </c>
      <c r="G541" s="84"/>
      <c r="K541" s="80">
        <f>IF(ISERROR(C541*1),-1,C541+IF(LEFT(A541)="T",Bonuses!$BR$3,IF(LEFT(A541)="G",Bonuses!$BS$3,IF(LEFT(A541)="Q",Bonuses!$BT$3,IF(LEFT(A541)="S",Bonuses!$BU$3,IF(LEFT(A541)="R",Bonuses!$BV$3,0))))))+P541</f>
        <v>0</v>
      </c>
      <c r="L541" s="80">
        <v>0</v>
      </c>
      <c r="O541" s="380"/>
      <c r="P541" s="380"/>
    </row>
    <row r="542" spans="1:18" x14ac:dyDescent="0.2">
      <c r="A542" s="95" t="s">
        <v>746</v>
      </c>
      <c r="B542" s="79" t="s">
        <v>793</v>
      </c>
      <c r="C542" s="126">
        <v>0</v>
      </c>
      <c r="D542" s="125">
        <f>M542+O542+(K542*N542)+IF(OR(LEFT(A542)="G",LEFT(A542)="S"),Stats!$E$3-15+Bonuses!$BO$3,IF(OR(LEFT(A542)="Q",LEFT(A542)="R"),Bonuses!$BQ$3,Bonuses!$BP$3))</f>
        <v>0</v>
      </c>
      <c r="E542" s="125">
        <f t="shared" si="43"/>
        <v>0</v>
      </c>
      <c r="F542" s="125">
        <f t="shared" si="44"/>
        <v>0</v>
      </c>
      <c r="G542" s="256" t="s">
        <v>844</v>
      </c>
      <c r="H542" s="85"/>
      <c r="I542" s="94" t="str">
        <f>"See 150' in Dark, Unseen, Invis &lt; rk "&amp;K542+1</f>
        <v>See 150' in Dark, Unseen, Invis &lt; rk 1</v>
      </c>
      <c r="J542" s="394">
        <v>200</v>
      </c>
      <c r="K542" s="80">
        <f>IF(ISERROR(C542*1),-1,C542+IF(LEFT(A542)="T",Bonuses!$BR$3,IF(LEFT(A542)="G",Bonuses!$BS$3,IF(LEFT(A542)="Q",Bonuses!$BT$3,IF(LEFT(A542)="S",Bonuses!$BU$3,IF(LEFT(A542)="R",Bonuses!$BV$3,0))))))+P542</f>
        <v>0</v>
      </c>
      <c r="L542" s="80">
        <v>0</v>
      </c>
      <c r="O542" s="380"/>
      <c r="P542" s="380"/>
    </row>
    <row r="543" spans="1:18" x14ac:dyDescent="0.2">
      <c r="A543" s="95" t="s">
        <v>241</v>
      </c>
      <c r="B543" s="79" t="s">
        <v>845</v>
      </c>
      <c r="C543" s="126">
        <v>0</v>
      </c>
      <c r="D543" s="125">
        <f>M543+O543+(K543*N543)+IF(OR(LEFT(A543)="G",LEFT(A543)="S"),Stats!$E$3-15+Bonuses!$BO$3,IF(OR(LEFT(A543)="Q",LEFT(A543)="R"),Bonuses!$BQ$3,Bonuses!$BP$3))</f>
        <v>40</v>
      </c>
      <c r="E543" s="125">
        <f t="shared" si="43"/>
        <v>6</v>
      </c>
      <c r="F543" s="125">
        <f t="shared" si="44"/>
        <v>2</v>
      </c>
      <c r="G543" s="84" t="str">
        <f>15+(15*K543)&amp;" Feet"</f>
        <v>15 Feet</v>
      </c>
      <c r="H543" s="85" t="s">
        <v>846</v>
      </c>
      <c r="J543" s="394">
        <v>200</v>
      </c>
      <c r="K543" s="80">
        <f>IF(ISERROR(C543*1),-1,C543+IF(LEFT(A543)="T",Bonuses!$BR$3,IF(LEFT(A543)="G",Bonuses!$BS$3,IF(LEFT(A543)="Q",Bonuses!$BT$3,IF(LEFT(A543)="S",Bonuses!$BU$3,IF(LEFT(A543)="R",Bonuses!$BV$3,0))))))+P543</f>
        <v>0</v>
      </c>
      <c r="L543" s="80">
        <v>1</v>
      </c>
      <c r="M543" s="75">
        <v>40</v>
      </c>
      <c r="N543" s="75">
        <v>3</v>
      </c>
      <c r="O543" s="380"/>
      <c r="P543" s="380"/>
      <c r="Q543" s="86">
        <f>MAX((MAX(Stats!$E$2,Ranking!$C$13)-15)*5,0)</f>
        <v>0</v>
      </c>
      <c r="R543" s="83">
        <v>300</v>
      </c>
    </row>
    <row r="544" spans="1:18" x14ac:dyDescent="0.2">
      <c r="A544" s="95" t="s">
        <v>242</v>
      </c>
      <c r="B544" s="79" t="s">
        <v>790</v>
      </c>
      <c r="C544" s="126">
        <v>0</v>
      </c>
      <c r="D544" s="125">
        <f>M544+O544+(K544*N544)+IF(OR(LEFT(A544)="G",LEFT(A544)="S"),Stats!$E$3-15+Bonuses!$BO$3,IF(OR(LEFT(A544)="Q",LEFT(A544)="R"),Bonuses!$BQ$3,Bonuses!$BP$3))</f>
        <v>60</v>
      </c>
      <c r="E544" s="125">
        <f t="shared" si="43"/>
        <v>9</v>
      </c>
      <c r="F544" s="125">
        <f t="shared" si="44"/>
        <v>3</v>
      </c>
      <c r="G544" s="84" t="str">
        <f>15+(15*K544)&amp;" Feet"</f>
        <v>15 Feet</v>
      </c>
      <c r="H544" s="85" t="str">
        <f>1/4*(1+K544)&amp;" Hours"</f>
        <v>0.25 Hours</v>
      </c>
      <c r="I544" s="94" t="str">
        <f>CONCATENATE(1000 + (K544*500),"'cu. ",60+(K544*2),"% Dark -",5+K544,"% Penalty")</f>
        <v>1000'cu. 60% Dark -5% Penalty</v>
      </c>
      <c r="J544" s="394">
        <v>100</v>
      </c>
      <c r="K544" s="80">
        <f>IF(ISERROR(C544*1),-1,C544+IF(LEFT(A544)="T",Bonuses!$BR$3,IF(LEFT(A544)="G",Bonuses!$BS$3,IF(LEFT(A544)="Q",Bonuses!$BT$3,IF(LEFT(A544)="S",Bonuses!$BU$3,IF(LEFT(A544)="R",Bonuses!$BV$3,0))))))+P544</f>
        <v>0</v>
      </c>
      <c r="L544" s="80">
        <v>1</v>
      </c>
      <c r="M544" s="75">
        <v>60</v>
      </c>
      <c r="N544" s="75">
        <v>3</v>
      </c>
      <c r="O544" s="380"/>
      <c r="P544" s="380"/>
      <c r="Q544" s="86">
        <f>MAX((MAX(Stats!$E$2,Ranking!$C$13)-15)*5,0)</f>
        <v>0</v>
      </c>
      <c r="R544" s="83">
        <v>300</v>
      </c>
    </row>
    <row r="545" spans="1:19" x14ac:dyDescent="0.2">
      <c r="A545" s="95" t="s">
        <v>243</v>
      </c>
      <c r="B545" s="79" t="s">
        <v>847</v>
      </c>
      <c r="C545" s="126">
        <v>0</v>
      </c>
      <c r="D545" s="125">
        <f>M545+O545+(K545*N545)+IF(OR(LEFT(A545)="G",LEFT(A545)="S"),Stats!$E$3-15+Bonuses!$BO$3,IF(OR(LEFT(A545)="Q",LEFT(A545)="R"),Bonuses!$BQ$3,Bonuses!$BP$3))</f>
        <v>50</v>
      </c>
      <c r="E545" s="125">
        <f t="shared" si="43"/>
        <v>7.5</v>
      </c>
      <c r="F545" s="125">
        <f t="shared" si="44"/>
        <v>2.5</v>
      </c>
      <c r="G545" s="84" t="str">
        <f>15+(15*K545)&amp;" Feet"</f>
        <v>15 Feet</v>
      </c>
      <c r="H545" s="85" t="s">
        <v>240</v>
      </c>
      <c r="J545" s="394">
        <v>100</v>
      </c>
      <c r="K545" s="80">
        <f>IF(ISERROR(C545*1),-1,C545+IF(LEFT(A545)="T",Bonuses!$BR$3,IF(LEFT(A545)="G",Bonuses!$BS$3,IF(LEFT(A545)="Q",Bonuses!$BT$3,IF(LEFT(A545)="S",Bonuses!$BU$3,IF(LEFT(A545)="R",Bonuses!$BV$3,0))))))+P545</f>
        <v>0</v>
      </c>
      <c r="L545" s="80">
        <v>1</v>
      </c>
      <c r="M545" s="75">
        <v>50</v>
      </c>
      <c r="N545" s="75">
        <v>3</v>
      </c>
      <c r="O545" s="380"/>
      <c r="P545" s="380"/>
      <c r="Q545" s="86">
        <f>MAX((MAX(Stats!$E$2,Ranking!$C$13)-15)*5,0)</f>
        <v>0</v>
      </c>
      <c r="R545" s="83">
        <v>300</v>
      </c>
    </row>
    <row r="546" spans="1:19" x14ac:dyDescent="0.2">
      <c r="A546" s="95" t="s">
        <v>245</v>
      </c>
      <c r="B546" s="79" t="s">
        <v>804</v>
      </c>
      <c r="C546" s="126">
        <v>0</v>
      </c>
      <c r="D546" s="125">
        <f>M546+O546+(K546*N546)+IF(OR(LEFT(A546)="G",LEFT(A546)="S"),Stats!$E$3-15+Bonuses!$BO$3,IF(OR(LEFT(A546)="Q",LEFT(A546)="R"),Bonuses!$BQ$3,Bonuses!$BP$3))</f>
        <v>20</v>
      </c>
      <c r="E546" s="125">
        <f t="shared" si="43"/>
        <v>3</v>
      </c>
      <c r="F546" s="125">
        <f t="shared" si="44"/>
        <v>1</v>
      </c>
      <c r="G546" s="84" t="str">
        <f>15+(15*K546)&amp;" Feet"</f>
        <v>15 Feet</v>
      </c>
      <c r="H546" s="85" t="s">
        <v>240</v>
      </c>
      <c r="J546" s="394">
        <v>350</v>
      </c>
      <c r="K546" s="80">
        <f>IF(ISERROR(C546*1),-1,C546+IF(LEFT(A546)="T",Bonuses!$BR$3,IF(LEFT(A546)="G",Bonuses!$BS$3,IF(LEFT(A546)="Q",Bonuses!$BT$3,IF(LEFT(A546)="S",Bonuses!$BU$3,IF(LEFT(A546)="R",Bonuses!$BV$3,0))))))+P546</f>
        <v>0</v>
      </c>
      <c r="L546" s="80">
        <v>1</v>
      </c>
      <c r="M546" s="75">
        <v>20</v>
      </c>
      <c r="N546" s="75">
        <v>3</v>
      </c>
      <c r="O546" s="380"/>
      <c r="P546" s="380"/>
      <c r="Q546" s="86">
        <f>MAX((MAX(Stats!$E$2,Ranking!$C$13)-15)*5,0)</f>
        <v>0</v>
      </c>
      <c r="R546" s="83">
        <v>300</v>
      </c>
    </row>
    <row r="547" spans="1:19" x14ac:dyDescent="0.2">
      <c r="A547" s="95" t="s">
        <v>246</v>
      </c>
      <c r="B547" s="79" t="s">
        <v>848</v>
      </c>
      <c r="C547" s="126">
        <v>0</v>
      </c>
      <c r="D547" s="125">
        <f>M547+O547+(K547*N547)+IF(OR(LEFT(A547)="G",LEFT(A547)="S"),Stats!$E$3-15+Bonuses!$BO$3,IF(OR(LEFT(A547)="Q",LEFT(A547)="R"),Bonuses!$BQ$3,Bonuses!$BP$3))</f>
        <v>20</v>
      </c>
      <c r="E547" s="125">
        <f t="shared" si="43"/>
        <v>3</v>
      </c>
      <c r="F547" s="125">
        <f t="shared" si="44"/>
        <v>1</v>
      </c>
      <c r="G547" s="84" t="str">
        <f>15+(15*K547)&amp;" Feet"</f>
        <v>15 Feet</v>
      </c>
      <c r="H547" s="85" t="str">
        <f>10+10*K547&amp;" Secs"</f>
        <v>10 Secs</v>
      </c>
      <c r="J547" s="394">
        <v>200</v>
      </c>
      <c r="K547" s="80">
        <f>IF(ISERROR(C547*1),-1,C547+IF(LEFT(A547)="T",Bonuses!$BR$3,IF(LEFT(A547)="G",Bonuses!$BS$3,IF(LEFT(A547)="Q",Bonuses!$BT$3,IF(LEFT(A547)="S",Bonuses!$BU$3,IF(LEFT(A547)="R",Bonuses!$BV$3,0))))))+P547</f>
        <v>0</v>
      </c>
      <c r="L547" s="80">
        <v>1</v>
      </c>
      <c r="M547" s="75">
        <v>20</v>
      </c>
      <c r="N547" s="75">
        <v>3</v>
      </c>
      <c r="O547" s="380"/>
      <c r="P547" s="380"/>
      <c r="Q547" s="86">
        <f>MAX((MAX(Stats!$E$2,Ranking!$C$13)-15)*5,0)</f>
        <v>0</v>
      </c>
      <c r="R547" s="83">
        <v>300</v>
      </c>
    </row>
    <row r="548" spans="1:19" x14ac:dyDescent="0.2">
      <c r="A548" s="95" t="s">
        <v>247</v>
      </c>
      <c r="B548" s="79" t="s">
        <v>822</v>
      </c>
      <c r="C548" s="126">
        <v>0</v>
      </c>
      <c r="D548" s="125">
        <f>M548+O548+(K548*N548)+IF(OR(LEFT(A548)="G",LEFT(A548)="S"),Stats!$E$3-15+Bonuses!$BO$3,IF(OR(LEFT(A548)="Q",LEFT(A548)="R"),Bonuses!$BQ$3,Bonuses!$BP$3))</f>
        <v>40</v>
      </c>
      <c r="E548" s="125">
        <f t="shared" si="43"/>
        <v>6</v>
      </c>
      <c r="F548" s="125">
        <f t="shared" si="44"/>
        <v>2</v>
      </c>
      <c r="G548" s="84" t="s">
        <v>849</v>
      </c>
      <c r="H548" s="88" t="str">
        <f>"Con.&lt;"&amp;5+K548*5&amp;" Mins"</f>
        <v>Con.&lt;5 Mins</v>
      </c>
      <c r="I548" s="94" t="str">
        <f>CONCATENATE("1 Post Hyp Suggestion for ",3+(K548*3)," hours")</f>
        <v>1 Post Hyp Suggestion for 3 hours</v>
      </c>
      <c r="J548" s="394">
        <v>200</v>
      </c>
      <c r="K548" s="80">
        <f>IF(ISERROR(C548*1),-1,C548+IF(LEFT(A548)="T",Bonuses!$BR$3,IF(LEFT(A548)="G",Bonuses!$BS$3,IF(LEFT(A548)="Q",Bonuses!$BT$3,IF(LEFT(A548)="S",Bonuses!$BU$3,IF(LEFT(A548)="R",Bonuses!$BV$3,0))))))+P548</f>
        <v>0</v>
      </c>
      <c r="L548" s="80">
        <v>1</v>
      </c>
      <c r="M548" s="75">
        <v>40</v>
      </c>
      <c r="N548" s="75">
        <v>3</v>
      </c>
      <c r="O548" s="380"/>
      <c r="P548" s="380"/>
      <c r="Q548" s="86">
        <f>MAX((MAX(Stats!$E$2,Ranking!$C$13)-15)*5,0)</f>
        <v>0</v>
      </c>
      <c r="R548" s="83">
        <v>300</v>
      </c>
    </row>
    <row r="549" spans="1:19" x14ac:dyDescent="0.2">
      <c r="A549" s="95" t="s">
        <v>248</v>
      </c>
      <c r="B549" s="79" t="s">
        <v>850</v>
      </c>
      <c r="C549" s="126">
        <v>0</v>
      </c>
      <c r="D549" s="125">
        <f>M549+O549+(K549*N549)+IF(OR(LEFT(A549)="G",LEFT(A549)="S"),Stats!$E$3-15+Bonuses!$BO$3,IF(OR(LEFT(A549)="Q",LEFT(A549)="R"),Bonuses!$BQ$3,Bonuses!$BP$3))</f>
        <v>20</v>
      </c>
      <c r="E549" s="125">
        <f t="shared" si="43"/>
        <v>3</v>
      </c>
      <c r="F549" s="125">
        <f t="shared" si="44"/>
        <v>1</v>
      </c>
      <c r="G549" s="84" t="str">
        <f>15+(15*K549)&amp;" Feet"</f>
        <v>15 Feet</v>
      </c>
      <c r="H549" s="84" t="s">
        <v>240</v>
      </c>
      <c r="J549" s="394">
        <v>150</v>
      </c>
      <c r="K549" s="80">
        <f>IF(ISERROR(C549*1),-1,C549+IF(LEFT(A549)="T",Bonuses!$BR$3,IF(LEFT(A549)="G",Bonuses!$BS$3,IF(LEFT(A549)="Q",Bonuses!$BT$3,IF(LEFT(A549)="S",Bonuses!$BU$3,IF(LEFT(A549)="R",Bonuses!$BV$3,0))))))+P549</f>
        <v>0</v>
      </c>
      <c r="L549" s="80">
        <v>1</v>
      </c>
      <c r="M549" s="75">
        <v>20</v>
      </c>
      <c r="N549" s="75">
        <v>3</v>
      </c>
      <c r="O549" s="380"/>
      <c r="P549" s="380"/>
      <c r="Q549" s="86">
        <f>MAX((MAX(Stats!$E$2,Ranking!$C$13)-15)*5,0)</f>
        <v>0</v>
      </c>
      <c r="R549" s="83">
        <v>300</v>
      </c>
    </row>
    <row r="550" spans="1:19" x14ac:dyDescent="0.2">
      <c r="A550" s="95" t="s">
        <v>249</v>
      </c>
      <c r="B550" s="79" t="s">
        <v>851</v>
      </c>
      <c r="C550" s="126">
        <v>0</v>
      </c>
      <c r="D550" s="125">
        <f>M550+O550+(K550*N550)+IF(OR(LEFT(A550)="G",LEFT(A550)="S"),Stats!$E$3-15+Bonuses!$BO$3,IF(OR(LEFT(A550)="Q",LEFT(A550)="R"),Bonuses!$BQ$3,Bonuses!$BP$3))</f>
        <v>30</v>
      </c>
      <c r="E550" s="125">
        <f t="shared" si="43"/>
        <v>4.5</v>
      </c>
      <c r="F550" s="125">
        <f t="shared" si="44"/>
        <v>1.5</v>
      </c>
      <c r="G550" s="84" t="s">
        <v>616</v>
      </c>
      <c r="H550" s="85" t="str">
        <f>1+K550*2&amp;" Hours"</f>
        <v>1 Hours</v>
      </c>
      <c r="J550" s="394">
        <v>250</v>
      </c>
      <c r="K550" s="80">
        <f>IF(ISERROR(C550*1),-1,C550+IF(LEFT(A550)="T",Bonuses!$BR$3,IF(LEFT(A550)="G",Bonuses!$BS$3,IF(LEFT(A550)="Q",Bonuses!$BT$3,IF(LEFT(A550)="S",Bonuses!$BU$3,IF(LEFT(A550)="R",Bonuses!$BV$3,0))))))+P550</f>
        <v>0</v>
      </c>
      <c r="L550" s="80">
        <v>1</v>
      </c>
      <c r="M550" s="75">
        <v>30</v>
      </c>
      <c r="N550" s="75">
        <v>3</v>
      </c>
      <c r="O550" s="380"/>
      <c r="P550" s="380"/>
      <c r="Q550" s="86">
        <f>MAX((MAX(Stats!$E$2,Ranking!$C$13)-15)*5,0)</f>
        <v>0</v>
      </c>
      <c r="R550" s="83">
        <v>300</v>
      </c>
    </row>
    <row r="551" spans="1:19" x14ac:dyDescent="0.2">
      <c r="A551" s="95" t="s">
        <v>250</v>
      </c>
      <c r="B551" s="79" t="s">
        <v>852</v>
      </c>
      <c r="C551" s="126">
        <v>0</v>
      </c>
      <c r="D551" s="125">
        <f>M551+O551+(K551*N551)+IF(OR(LEFT(A551)="G",LEFT(A551)="S"),Stats!$E$3-15+Bonuses!$BO$3,IF(OR(LEFT(A551)="Q",LEFT(A551)="R"),Bonuses!$BQ$3,Bonuses!$BP$3))</f>
        <v>20</v>
      </c>
      <c r="E551" s="125">
        <f t="shared" si="43"/>
        <v>3</v>
      </c>
      <c r="F551" s="125">
        <f t="shared" si="44"/>
        <v>1</v>
      </c>
      <c r="G551" s="84" t="s">
        <v>849</v>
      </c>
      <c r="H551" s="85" t="str">
        <f>0.5+K551/2&amp;" Hours"</f>
        <v>0.5 Hours</v>
      </c>
      <c r="J551" s="394">
        <v>200</v>
      </c>
      <c r="K551" s="80">
        <f>IF(ISERROR(C551*1),-1,C551+IF(LEFT(A551)="T",Bonuses!$BR$3,IF(LEFT(A551)="G",Bonuses!$BS$3,IF(LEFT(A551)="Q",Bonuses!$BT$3,IF(LEFT(A551)="S",Bonuses!$BU$3,IF(LEFT(A551)="R",Bonuses!$BV$3,0))))))+P551</f>
        <v>0</v>
      </c>
      <c r="L551" s="80">
        <v>1</v>
      </c>
      <c r="M551" s="75">
        <v>20</v>
      </c>
      <c r="N551" s="75">
        <v>3</v>
      </c>
      <c r="O551" s="380"/>
      <c r="P551" s="380"/>
      <c r="Q551" s="86">
        <f>MAX((MAX(Stats!$E$2,Ranking!$C$13)-15)*5,0)</f>
        <v>0</v>
      </c>
      <c r="R551" s="83">
        <v>300</v>
      </c>
    </row>
    <row r="552" spans="1:19" x14ac:dyDescent="0.2">
      <c r="A552" s="96" t="s">
        <v>794</v>
      </c>
      <c r="B552" s="87" t="s">
        <v>754</v>
      </c>
      <c r="C552" s="126">
        <v>0</v>
      </c>
      <c r="D552" s="125">
        <f>M552+O552+(K552*N552)+IF(OR(LEFT(A552)="G",LEFT(A552)="S"),Stats!$E$3-15+Bonuses!$BO$3,IF(OR(LEFT(A552)="Q",LEFT(A552)="R"),Bonuses!$BQ$3,Bonuses!$BP$3))</f>
        <v>40</v>
      </c>
      <c r="E552" s="125">
        <f t="shared" si="43"/>
        <v>6</v>
      </c>
      <c r="F552" s="125">
        <f t="shared" si="44"/>
        <v>2</v>
      </c>
      <c r="G552" s="84" t="s">
        <v>853</v>
      </c>
      <c r="H552" s="88" t="str">
        <f>"D+"&amp;5+K552&amp;" Mins"</f>
        <v>D+5 Mins</v>
      </c>
      <c r="I552" s="90"/>
      <c r="J552" s="395">
        <v>200</v>
      </c>
      <c r="K552" s="80">
        <f>IF(ISERROR(C552*1),-1,C552+IF(LEFT(A552)="T",Bonuses!$BR$3,IF(LEFT(A552)="G",Bonuses!$BS$3,IF(LEFT(A552)="Q",Bonuses!$BT$3,IF(LEFT(A552)="S",Bonuses!$BU$3,IF(LEFT(A552)="R",Bonuses!$BV$3,0))))))+P552</f>
        <v>0</v>
      </c>
      <c r="L552" s="80">
        <v>1</v>
      </c>
      <c r="M552" s="89">
        <v>40</v>
      </c>
      <c r="N552" s="75">
        <v>3</v>
      </c>
      <c r="O552" s="380"/>
      <c r="P552" s="380"/>
      <c r="Q552" s="86">
        <f>MAX((MAX(Stats!$E$2,Ranking!$C$13)-15)*5,0)</f>
        <v>0</v>
      </c>
      <c r="R552" s="83">
        <v>300</v>
      </c>
    </row>
    <row r="553" spans="1:19" x14ac:dyDescent="0.2">
      <c r="A553" s="96" t="s">
        <v>796</v>
      </c>
      <c r="B553" s="87" t="s">
        <v>854</v>
      </c>
      <c r="C553" s="126">
        <v>0</v>
      </c>
      <c r="D553" s="125">
        <f>M553+O553+(K553*N553)+IF(OR(LEFT(A553)="G",LEFT(A553)="S"),Stats!$E$3-15+Bonuses!$BO$3,IF(OR(LEFT(A553)="Q",LEFT(A553)="R"),Bonuses!$BQ$3,Bonuses!$BP$3))</f>
        <v>20</v>
      </c>
      <c r="E553" s="125">
        <f t="shared" si="43"/>
        <v>3</v>
      </c>
      <c r="F553" s="125">
        <f t="shared" si="44"/>
        <v>1</v>
      </c>
      <c r="G553" s="84" t="str">
        <f>5+K553&amp;" Miles"</f>
        <v>5 Miles</v>
      </c>
      <c r="H553" s="88" t="str">
        <f>"D+"&amp;5+K553&amp;" Mins"</f>
        <v>D+5 Mins</v>
      </c>
      <c r="I553" s="90"/>
      <c r="J553" s="395">
        <v>200</v>
      </c>
      <c r="K553" s="80">
        <f>IF(ISERROR(C553*1),-1,C553+IF(LEFT(A553)="T",Bonuses!$BR$3,IF(LEFT(A553)="G",Bonuses!$BS$3,IF(LEFT(A553)="Q",Bonuses!$BT$3,IF(LEFT(A553)="S",Bonuses!$BU$3,IF(LEFT(A553)="R",Bonuses!$BV$3,0))))))+P553</f>
        <v>0</v>
      </c>
      <c r="L553" s="80">
        <v>1</v>
      </c>
      <c r="M553" s="89">
        <v>20</v>
      </c>
      <c r="N553" s="75">
        <v>3</v>
      </c>
      <c r="O553" s="380"/>
      <c r="P553" s="380"/>
      <c r="Q553" s="86">
        <f>MAX((MAX(Stats!$E$2,Ranking!$C$13)-15)*5,0)</f>
        <v>0</v>
      </c>
      <c r="R553" s="83">
        <v>300</v>
      </c>
    </row>
    <row r="554" spans="1:19" x14ac:dyDescent="0.2">
      <c r="A554" s="95" t="s">
        <v>855</v>
      </c>
      <c r="B554" s="79" t="s">
        <v>291</v>
      </c>
      <c r="C554" s="126">
        <v>0</v>
      </c>
      <c r="D554" s="125">
        <f>M554+O554+(K554*N554)+IF(OR(LEFT(A554)="G",LEFT(A554)="S"),Stats!$E$3-15+Bonuses!$BO$3,IF(OR(LEFT(A554)="Q",LEFT(A554)="R"),Bonuses!$BQ$3,Bonuses!$BP$3))</f>
        <v>60</v>
      </c>
      <c r="E554" s="125">
        <f t="shared" si="43"/>
        <v>9</v>
      </c>
      <c r="F554" s="125">
        <f t="shared" si="44"/>
        <v>3</v>
      </c>
      <c r="G554" s="84" t="str">
        <f>1+K554&amp;" Feet"</f>
        <v>1 Feet</v>
      </c>
      <c r="H554" s="85" t="str">
        <f>1+K554&amp;" Hours"</f>
        <v>1 Hours</v>
      </c>
      <c r="J554" s="394">
        <v>100</v>
      </c>
      <c r="K554" s="80">
        <f>IF(ISERROR(C554*1),-1,C554+IF(LEFT(A554)="T",Bonuses!$BR$3,IF(LEFT(A554)="G",Bonuses!$BS$3,IF(LEFT(A554)="Q",Bonuses!$BT$3,IF(LEFT(A554)="S",Bonuses!$BU$3,IF(LEFT(A554)="R",Bonuses!$BV$3,0))))))+P554</f>
        <v>0</v>
      </c>
      <c r="L554" s="80">
        <v>1</v>
      </c>
      <c r="M554" s="75">
        <v>60</v>
      </c>
      <c r="N554" s="75">
        <v>3</v>
      </c>
      <c r="O554" s="380"/>
      <c r="P554" s="380"/>
      <c r="Q554" s="86">
        <f>MAX((MAX(Stats!$E$2,Ranking!$C$13)-15)*5,0)</f>
        <v>0</v>
      </c>
      <c r="R554" s="83">
        <v>300</v>
      </c>
    </row>
    <row r="555" spans="1:19" s="92" customFormat="1" x14ac:dyDescent="0.2">
      <c r="A555" s="96" t="s">
        <v>856</v>
      </c>
      <c r="B555" s="87" t="s">
        <v>759</v>
      </c>
      <c r="C555" s="126">
        <v>0</v>
      </c>
      <c r="D555" s="125">
        <f>M555+O555+(K555*N555)+IF(OR(LEFT(A555)="G",LEFT(A555)="S"),Stats!$E$3-15+Bonuses!$BO$3,IF(OR(LEFT(A555)="Q",LEFT(A555)="R"),Bonuses!$BQ$3,Bonuses!$BP$3))</f>
        <v>40</v>
      </c>
      <c r="E555" s="125">
        <f t="shared" si="43"/>
        <v>6</v>
      </c>
      <c r="F555" s="125">
        <f>D555*0.05</f>
        <v>2</v>
      </c>
      <c r="G555" s="81" t="s">
        <v>616</v>
      </c>
      <c r="H555" s="88" t="str">
        <f>"D10 Hours"</f>
        <v>D10 Hours</v>
      </c>
      <c r="I555" s="90"/>
      <c r="J555" s="395">
        <v>100</v>
      </c>
      <c r="K555" s="80">
        <f>IF(ISERROR(C555*1),-1,C555+IF(LEFT(A555)="T",Bonuses!$BR$3,IF(LEFT(A555)="G",Bonuses!$BS$3,IF(LEFT(A555)="Q",Bonuses!$BT$3,IF(LEFT(A555)="S",Bonuses!$BU$3,IF(LEFT(A555)="R",Bonuses!$BV$3,0))))))+P555</f>
        <v>0</v>
      </c>
      <c r="L555" s="84">
        <v>1</v>
      </c>
      <c r="M555" s="89">
        <v>40</v>
      </c>
      <c r="N555" s="75">
        <v>3</v>
      </c>
      <c r="O555" s="380"/>
      <c r="P555" s="380"/>
      <c r="Q555" s="86">
        <f>MAX((MAX(Stats!$E$2,Ranking!$C$13)-15)*5,0)</f>
        <v>0</v>
      </c>
      <c r="R555" s="83">
        <v>300</v>
      </c>
      <c r="S555" s="84"/>
    </row>
    <row r="556" spans="1:19" x14ac:dyDescent="0.2">
      <c r="A556" s="96" t="s">
        <v>268</v>
      </c>
      <c r="B556" s="79" t="s">
        <v>795</v>
      </c>
      <c r="C556" s="126">
        <v>0</v>
      </c>
      <c r="D556" s="125">
        <f>M556+O556+(K556*N556)+IF(OR(LEFT(A556)="G",LEFT(A556)="S"),Stats!$E$3-15+Bonuses!$BO$3,IF(OR(LEFT(A556)="Q",LEFT(A556)="R"),Bonuses!$BQ$3,Bonuses!$BP$3))</f>
        <v>40</v>
      </c>
      <c r="E556" s="125">
        <f t="shared" si="43"/>
        <v>6</v>
      </c>
      <c r="F556" s="125">
        <f t="shared" si="44"/>
        <v>2</v>
      </c>
      <c r="G556" s="84" t="str">
        <f>25+(25*K556)&amp;" Feet"</f>
        <v>25 Feet</v>
      </c>
      <c r="H556" s="88" t="str">
        <f>"D+"&amp;5+K556&amp;" Mins"</f>
        <v>D+5 Mins</v>
      </c>
      <c r="I556" s="94" t="str">
        <f>"+"&amp;30 + (K556*3)&amp;" to MR vs Generals"</f>
        <v>+30 to MR vs Generals</v>
      </c>
      <c r="J556" s="394">
        <v>100</v>
      </c>
      <c r="K556" s="80">
        <f>IF(ISERROR(C556*1),-1,C556+IF(LEFT(A556)="T",Bonuses!$BR$3,IF(LEFT(A556)="G",Bonuses!$BS$3,IF(LEFT(A556)="Q",Bonuses!$BT$3,IF(LEFT(A556)="S",Bonuses!$BU$3,IF(LEFT(A556)="R",Bonuses!$BV$3,0))))))+P556</f>
        <v>0</v>
      </c>
      <c r="L556" s="80">
        <v>1</v>
      </c>
      <c r="M556" s="75">
        <v>40</v>
      </c>
      <c r="N556" s="75">
        <v>3</v>
      </c>
      <c r="O556" s="380"/>
      <c r="P556" s="380"/>
      <c r="Q556" s="86">
        <f>MAX((MAX(Stats!$E$2,Ranking!$C$13)-15)*5,0)</f>
        <v>0</v>
      </c>
      <c r="R556" s="83">
        <v>300</v>
      </c>
    </row>
    <row r="557" spans="1:19" x14ac:dyDescent="0.2">
      <c r="A557" s="96" t="s">
        <v>268</v>
      </c>
      <c r="B557" s="79" t="s">
        <v>797</v>
      </c>
      <c r="C557" s="126">
        <v>0</v>
      </c>
      <c r="D557" s="125">
        <f>M557+O557+(K557*N557)+IF(OR(LEFT(A557)="G",LEFT(A557)="S"),Stats!$E$3-15+Bonuses!$BO$3,IF(OR(LEFT(A557)="Q",LEFT(A557)="R"),Bonuses!$BQ$3,Bonuses!$BP$3))</f>
        <v>40</v>
      </c>
      <c r="E557" s="125">
        <f t="shared" si="43"/>
        <v>6</v>
      </c>
      <c r="F557" s="125">
        <f t="shared" si="44"/>
        <v>2</v>
      </c>
      <c r="G557" s="84" t="str">
        <f>25+(25*K557)&amp;" Feet"</f>
        <v>25 Feet</v>
      </c>
      <c r="H557" s="88" t="str">
        <f>"D+"&amp;5+K557&amp;" Mins"</f>
        <v>D+5 Mins</v>
      </c>
      <c r="I557" s="94" t="str">
        <f>"+"&amp;30 + (K557*3)&amp;" to MR vs Specials"</f>
        <v>+30 to MR vs Specials</v>
      </c>
      <c r="J557" s="394">
        <v>200</v>
      </c>
      <c r="K557" s="80">
        <f>IF(ISERROR(C557*1),-1,C557+IF(LEFT(A557)="T",Bonuses!$BR$3,IF(LEFT(A557)="G",Bonuses!$BS$3,IF(LEFT(A557)="Q",Bonuses!$BT$3,IF(LEFT(A557)="S",Bonuses!$BU$3,IF(LEFT(A557)="R",Bonuses!$BV$3,0))))))+P557</f>
        <v>0</v>
      </c>
      <c r="L557" s="80">
        <v>1</v>
      </c>
      <c r="M557" s="75">
        <v>40</v>
      </c>
      <c r="N557" s="75">
        <v>3</v>
      </c>
      <c r="O557" s="380"/>
      <c r="P557" s="380"/>
      <c r="Q557" s="86">
        <f>MAX((MAX(Stats!$E$2,Ranking!$C$13)-15)*5,0)</f>
        <v>0</v>
      </c>
      <c r="R557" s="83">
        <v>300</v>
      </c>
    </row>
    <row r="558" spans="1:19" x14ac:dyDescent="0.2">
      <c r="A558" s="95" t="s">
        <v>251</v>
      </c>
      <c r="B558" s="79" t="s">
        <v>859</v>
      </c>
      <c r="C558" s="126">
        <v>0</v>
      </c>
      <c r="D558" s="125">
        <f>M558+O558+(K558*N558)+IF(OR(LEFT(A558)="G",LEFT(A558)="S"),Stats!$E$3-15+Bonuses!$BO$3,IF(OR(LEFT(A558)="Q",LEFT(A558)="R"),Bonuses!$BQ$3,Bonuses!$BP$3))</f>
        <v>40</v>
      </c>
      <c r="E558" s="125">
        <f t="shared" si="43"/>
        <v>6</v>
      </c>
      <c r="F558" s="125">
        <f t="shared" si="44"/>
        <v>2</v>
      </c>
      <c r="G558" s="84"/>
      <c r="H558" s="85"/>
      <c r="J558" s="394">
        <v>250</v>
      </c>
      <c r="K558" s="80">
        <f>IF(ISERROR(C558*1),-1,C558+IF(LEFT(A558)="T",Bonuses!$BR$3,IF(LEFT(A558)="G",Bonuses!$BS$3,IF(LEFT(A558)="Q",Bonuses!$BT$3,IF(LEFT(A558)="S",Bonuses!$BU$3,IF(LEFT(A558)="R",Bonuses!$BV$3,0))))))+P558</f>
        <v>0</v>
      </c>
      <c r="L558" s="80">
        <v>7</v>
      </c>
      <c r="M558" s="75">
        <v>40</v>
      </c>
      <c r="N558" s="75">
        <v>4</v>
      </c>
      <c r="O558" s="380"/>
      <c r="P558" s="380"/>
      <c r="Q558" s="86">
        <f>MAX((MAX(Stats!$E$2,Ranking!$C$13)-15)*5,0)</f>
        <v>0</v>
      </c>
      <c r="R558" s="83">
        <v>300</v>
      </c>
    </row>
    <row r="559" spans="1:19" x14ac:dyDescent="0.2">
      <c r="A559" s="95" t="s">
        <v>298</v>
      </c>
      <c r="B559" s="79" t="s">
        <v>860</v>
      </c>
      <c r="C559" s="126">
        <v>0</v>
      </c>
      <c r="D559" s="125">
        <f>M559+O559+(K559*N559)+IF(OR(LEFT(A559)="G",LEFT(A559)="S"),Stats!$E$3-15+Bonuses!$BO$3,IF(OR(LEFT(A559)="Q",LEFT(A559)="R"),Bonuses!$BQ$3,Bonuses!$BP$3))</f>
        <v>45</v>
      </c>
      <c r="E559" s="125">
        <f t="shared" si="43"/>
        <v>6.75</v>
      </c>
      <c r="F559" s="125">
        <f t="shared" si="44"/>
        <v>2.25</v>
      </c>
      <c r="G559" s="84" t="str">
        <f>1+K559&amp;" Feet"</f>
        <v>1 Feet</v>
      </c>
      <c r="H559" s="255" t="s">
        <v>861</v>
      </c>
      <c r="I559" s="94" t="s">
        <v>862</v>
      </c>
      <c r="J559" s="394">
        <v>500</v>
      </c>
      <c r="K559" s="80">
        <f>IF(ISERROR(C559*1),-1,C559+IF(LEFT(A559)="T",Bonuses!$BR$3,IF(LEFT(A559)="G",Bonuses!$BS$3,IF(LEFT(A559)="Q",Bonuses!$BT$3,IF(LEFT(A559)="S",Bonuses!$BU$3,IF(LEFT(A559)="R",Bonuses!$BV$3,0))))))+P559</f>
        <v>0</v>
      </c>
      <c r="L559" s="80">
        <v>7</v>
      </c>
      <c r="M559" s="75">
        <v>45</v>
      </c>
      <c r="N559" s="75">
        <v>3</v>
      </c>
      <c r="O559" s="380"/>
      <c r="P559" s="380"/>
      <c r="Q559" s="86">
        <f>MAX((MAX(Stats!$E$2,Ranking!$C$13)-15)*5,0)</f>
        <v>0</v>
      </c>
      <c r="R559" s="83">
        <v>300</v>
      </c>
    </row>
    <row r="560" spans="1:19" x14ac:dyDescent="0.2">
      <c r="A560" s="95" t="s">
        <v>267</v>
      </c>
      <c r="B560" s="79" t="s">
        <v>252</v>
      </c>
      <c r="C560" s="126">
        <v>0</v>
      </c>
      <c r="D560" s="125">
        <f>M560+O560+(K560*N560)+IF(OR(LEFT(A560)="G",LEFT(A560)="S"),Stats!$E$3-15+Bonuses!$BO$3,IF(OR(LEFT(A560)="Q",LEFT(A560)="R"),Bonuses!$BQ$3,Bonuses!$BP$3))</f>
        <v>30</v>
      </c>
      <c r="E560" s="125">
        <f t="shared" si="43"/>
        <v>4.5</v>
      </c>
      <c r="F560" s="125">
        <f t="shared" si="44"/>
        <v>1.5</v>
      </c>
      <c r="G560" s="81"/>
      <c r="H560" s="88" t="str">
        <f>4+(4*K560)&amp;" Hours"</f>
        <v>4 Hours</v>
      </c>
      <c r="I560" s="90" t="str">
        <f>"+ "&amp;K560&amp;" MR. +"&amp;TRUNC(K560/5)&amp;" MA."</f>
        <v>+ 0 MR. +0 MA.</v>
      </c>
      <c r="J560" s="394">
        <v>200</v>
      </c>
      <c r="K560" s="80">
        <f>IF(ISERROR(C560*1),-1,C560+IF(LEFT(A560)="T",Bonuses!$BR$3,IF(LEFT(A560)="G",Bonuses!$BS$3,IF(LEFT(A560)="Q",Bonuses!$BT$3,IF(LEFT(A560)="S",Bonuses!$BU$3,IF(LEFT(A560)="R",Bonuses!$BV$3,0))))))+P560</f>
        <v>0</v>
      </c>
      <c r="L560" s="80">
        <v>7</v>
      </c>
      <c r="M560" s="75">
        <f>Stats!$E$3+Stats!$F$3</f>
        <v>30</v>
      </c>
      <c r="N560" s="75">
        <v>3</v>
      </c>
      <c r="O560" s="380"/>
      <c r="P560" s="380"/>
      <c r="Q560" s="86">
        <f>MAX((MAX(Stats!$E$2,Ranking!$C$13)-15)*5,0)</f>
        <v>0</v>
      </c>
      <c r="R560" s="83">
        <v>300</v>
      </c>
    </row>
    <row r="561" spans="1:18" x14ac:dyDescent="0.2">
      <c r="A561" s="95" t="s">
        <v>253</v>
      </c>
      <c r="B561" s="79" t="s">
        <v>863</v>
      </c>
      <c r="C561" s="126" t="s">
        <v>283</v>
      </c>
      <c r="D561" s="125">
        <f>M561+O561+(K561*N561)+IF(OR(LEFT(A561)="G",LEFT(A561)="S"),Stats!$E$3-15+Bonuses!$BO$3,IF(OR(LEFT(A561)="Q",LEFT(A561)="R"),Bonuses!$BQ$3,Bonuses!$BP$3))</f>
        <v>37</v>
      </c>
      <c r="E561" s="125">
        <f t="shared" si="43"/>
        <v>5.55</v>
      </c>
      <c r="F561" s="125">
        <f t="shared" si="44"/>
        <v>1.85</v>
      </c>
      <c r="G561" s="84" t="s">
        <v>853</v>
      </c>
      <c r="H561" s="88" t="str">
        <f>1+K561&amp;" Years"</f>
        <v>0 Years</v>
      </c>
      <c r="I561" s="94" t="str">
        <f>K561+1&amp;" Acres"</f>
        <v>0 Acres</v>
      </c>
      <c r="J561" s="394">
        <v>125</v>
      </c>
      <c r="K561" s="80">
        <f>IF(ISERROR(C561*1),-1,C561+IF(LEFT(A561)="T",Bonuses!$BR$3,IF(LEFT(A561)="G",Bonuses!$BS$3,IF(LEFT(A561)="Q",Bonuses!$BT$3,IF(LEFT(A561)="S",Bonuses!$BU$3,IF(LEFT(A561)="R",Bonuses!$BV$3,0))))))+P561</f>
        <v>-1</v>
      </c>
      <c r="L561" s="80">
        <v>1</v>
      </c>
      <c r="M561" s="75">
        <v>40</v>
      </c>
      <c r="N561" s="75">
        <v>3</v>
      </c>
      <c r="O561" s="380"/>
      <c r="P561" s="380"/>
      <c r="R561" s="83">
        <v>500</v>
      </c>
    </row>
    <row r="562" spans="1:18" x14ac:dyDescent="0.2">
      <c r="A562" s="95" t="s">
        <v>254</v>
      </c>
      <c r="B562" s="79" t="s">
        <v>864</v>
      </c>
      <c r="C562" s="126" t="s">
        <v>283</v>
      </c>
      <c r="D562" s="125">
        <f>M562+O562+(K562*N562)+IF(OR(LEFT(A562)="G",LEFT(A562)="S"),Stats!$E$3-15+Bonuses!$BO$3,IF(OR(LEFT(A562)="Q",LEFT(A562)="R"),Bonuses!$BQ$3,Bonuses!$BP$3))</f>
        <v>17</v>
      </c>
      <c r="E562" s="125">
        <f t="shared" si="43"/>
        <v>2.5499999999999998</v>
      </c>
      <c r="F562" s="125">
        <f t="shared" si="44"/>
        <v>0.85000000000000009</v>
      </c>
      <c r="G562" s="84"/>
      <c r="H562" s="85"/>
      <c r="J562" s="394">
        <v>200</v>
      </c>
      <c r="K562" s="80">
        <f>IF(ISERROR(C562*1),-1,C562+IF(LEFT(A562)="T",Bonuses!$BR$3,IF(LEFT(A562)="G",Bonuses!$BS$3,IF(LEFT(A562)="Q",Bonuses!$BT$3,IF(LEFT(A562)="S",Bonuses!$BU$3,IF(LEFT(A562)="R",Bonuses!$BV$3,0))))))+P562</f>
        <v>-1</v>
      </c>
      <c r="L562" s="80">
        <v>1</v>
      </c>
      <c r="M562" s="75">
        <v>20</v>
      </c>
      <c r="N562" s="75">
        <v>3</v>
      </c>
      <c r="O562" s="380"/>
      <c r="P562" s="380"/>
      <c r="R562" s="83">
        <v>1000</v>
      </c>
    </row>
    <row r="563" spans="1:18" x14ac:dyDescent="0.2">
      <c r="A563" s="95" t="s">
        <v>255</v>
      </c>
      <c r="B563" s="79" t="s">
        <v>865</v>
      </c>
      <c r="C563" s="126" t="s">
        <v>283</v>
      </c>
      <c r="D563" s="125">
        <f>M563+O563+(K563*N563)+IF(OR(LEFT(A563)="G",LEFT(A563)="S"),Stats!$E$3-15+Bonuses!$BO$3,IF(OR(LEFT(A563)="Q",LEFT(A563)="R"),Bonuses!$BQ$3,Bonuses!$BP$3))</f>
        <v>42</v>
      </c>
      <c r="E563" s="125">
        <f t="shared" si="43"/>
        <v>6.3</v>
      </c>
      <c r="F563" s="125">
        <f t="shared" si="44"/>
        <v>2.1</v>
      </c>
      <c r="G563" s="84"/>
      <c r="H563" s="88" t="str">
        <f>1+K563&amp;" Months"</f>
        <v>0 Months</v>
      </c>
      <c r="I563" s="94" t="str">
        <f>K563+5&amp;" Animals"</f>
        <v>4 Animals</v>
      </c>
      <c r="J563" s="394">
        <v>150</v>
      </c>
      <c r="K563" s="80">
        <f>IF(ISERROR(C563*1),-1,C563+IF(LEFT(A563)="T",Bonuses!$BR$3,IF(LEFT(A563)="G",Bonuses!$BS$3,IF(LEFT(A563)="Q",Bonuses!$BT$3,IF(LEFT(A563)="S",Bonuses!$BU$3,IF(LEFT(A563)="R",Bonuses!$BV$3,0))))))+P563</f>
        <v>-1</v>
      </c>
      <c r="L563" s="80">
        <v>1</v>
      </c>
      <c r="M563" s="75">
        <v>45</v>
      </c>
      <c r="N563" s="75">
        <v>3</v>
      </c>
      <c r="O563" s="380"/>
      <c r="P563" s="380"/>
      <c r="R563" s="83">
        <v>500</v>
      </c>
    </row>
    <row r="564" spans="1:18" x14ac:dyDescent="0.2">
      <c r="A564" s="95" t="s">
        <v>256</v>
      </c>
      <c r="B564" s="79" t="s">
        <v>866</v>
      </c>
      <c r="C564" s="126" t="s">
        <v>283</v>
      </c>
      <c r="D564" s="125">
        <f>M564+O564+(K564*N564)+IF(OR(LEFT(A564)="G",LEFT(A564)="S"),Stats!$E$3-15+Bonuses!$BO$3,IF(OR(LEFT(A564)="Q",LEFT(A564)="R"),Bonuses!$BQ$3,Bonuses!$BP$3))</f>
        <v>42</v>
      </c>
      <c r="E564" s="125">
        <f t="shared" si="43"/>
        <v>6.3</v>
      </c>
      <c r="F564" s="125">
        <f t="shared" si="44"/>
        <v>2.1</v>
      </c>
      <c r="G564" s="84"/>
      <c r="H564" s="88" t="str">
        <f>1+K564&amp;" Years"</f>
        <v>0 Years</v>
      </c>
      <c r="I564" s="94" t="str">
        <f>K564+1&amp;" Acres"</f>
        <v>0 Acres</v>
      </c>
      <c r="J564" s="394">
        <v>125</v>
      </c>
      <c r="K564" s="80">
        <f>IF(ISERROR(C564*1),-1,C564+IF(LEFT(A564)="T",Bonuses!$BR$3,IF(LEFT(A564)="G",Bonuses!$BS$3,IF(LEFT(A564)="Q",Bonuses!$BT$3,IF(LEFT(A564)="S",Bonuses!$BU$3,IF(LEFT(A564)="R",Bonuses!$BV$3,0))))))+P564</f>
        <v>-1</v>
      </c>
      <c r="L564" s="80">
        <v>1</v>
      </c>
      <c r="M564" s="75">
        <v>45</v>
      </c>
      <c r="N564" s="75">
        <v>3</v>
      </c>
      <c r="O564" s="380"/>
      <c r="P564" s="380"/>
      <c r="R564" s="83">
        <v>3000</v>
      </c>
    </row>
    <row r="565" spans="1:18" x14ac:dyDescent="0.2">
      <c r="A565" s="95" t="s">
        <v>257</v>
      </c>
      <c r="B565" s="79" t="s">
        <v>867</v>
      </c>
      <c r="C565" s="126" t="s">
        <v>283</v>
      </c>
      <c r="D565" s="125">
        <f>M565+O565+(K565*N565)+IF(OR(LEFT(A565)="G",LEFT(A565)="S"),Stats!$E$3-15+Bonuses!$BO$3,IF(OR(LEFT(A565)="Q",LEFT(A565)="R"),Bonuses!$BQ$3,Bonuses!$BP$3))</f>
        <v>57</v>
      </c>
      <c r="E565" s="125">
        <f t="shared" si="43"/>
        <v>8.5499999999999989</v>
      </c>
      <c r="F565" s="125">
        <f t="shared" si="44"/>
        <v>2.85</v>
      </c>
      <c r="G565" s="84" t="str">
        <f>15+(15*K565)&amp;" Feet"</f>
        <v>0 Feet</v>
      </c>
      <c r="H565" s="85" t="str">
        <f>1+K565&amp;" Hours"</f>
        <v>0 Hours</v>
      </c>
      <c r="J565" s="394">
        <v>100</v>
      </c>
      <c r="K565" s="80">
        <f>IF(ISERROR(C565*1),-1,C565+IF(LEFT(A565)="T",Bonuses!$BR$3,IF(LEFT(A565)="G",Bonuses!$BS$3,IF(LEFT(A565)="Q",Bonuses!$BT$3,IF(LEFT(A565)="S",Bonuses!$BU$3,IF(LEFT(A565)="R",Bonuses!$BV$3,0))))))+P565</f>
        <v>-1</v>
      </c>
      <c r="L565" s="80">
        <v>1</v>
      </c>
      <c r="M565" s="75">
        <v>60</v>
      </c>
      <c r="N565" s="75">
        <v>3</v>
      </c>
      <c r="O565" s="380"/>
      <c r="P565" s="380"/>
      <c r="R565" s="83">
        <v>2000</v>
      </c>
    </row>
    <row r="566" spans="1:18" x14ac:dyDescent="0.2">
      <c r="A566" s="95" t="s">
        <v>258</v>
      </c>
      <c r="B566" s="79" t="s">
        <v>868</v>
      </c>
      <c r="C566" s="126" t="s">
        <v>283</v>
      </c>
      <c r="D566" s="125">
        <f>M566+O566+(K566*N566)+IF(OR(LEFT(A566)="G",LEFT(A566)="S"),Stats!$E$3-15+Bonuses!$BO$3,IF(OR(LEFT(A566)="Q",LEFT(A566)="R"),Bonuses!$BQ$3,Bonuses!$BP$3))</f>
        <v>17</v>
      </c>
      <c r="E566" s="125">
        <f t="shared" si="43"/>
        <v>2.5499999999999998</v>
      </c>
      <c r="F566" s="125">
        <f t="shared" si="44"/>
        <v>0.85000000000000009</v>
      </c>
      <c r="G566" s="84"/>
      <c r="H566" s="85"/>
      <c r="J566" s="394">
        <v>100</v>
      </c>
      <c r="K566" s="80">
        <f>IF(ISERROR(C566*1),-1,C566+IF(LEFT(A566)="T",Bonuses!$BR$3,IF(LEFT(A566)="G",Bonuses!$BS$3,IF(LEFT(A566)="Q",Bonuses!$BT$3,IF(LEFT(A566)="S",Bonuses!$BU$3,IF(LEFT(A566)="R",Bonuses!$BV$3,0))))))+P566</f>
        <v>-1</v>
      </c>
      <c r="L566" s="80">
        <v>1</v>
      </c>
      <c r="M566" s="75">
        <v>20</v>
      </c>
      <c r="N566" s="75">
        <v>3</v>
      </c>
      <c r="O566" s="380"/>
      <c r="P566" s="380"/>
      <c r="R566" s="83">
        <v>8000</v>
      </c>
    </row>
    <row r="567" spans="1:18" x14ac:dyDescent="0.2">
      <c r="A567" s="95" t="s">
        <v>259</v>
      </c>
      <c r="B567" s="79" t="s">
        <v>869</v>
      </c>
      <c r="C567" s="126" t="s">
        <v>283</v>
      </c>
      <c r="D567" s="125">
        <f>M567+O567+(K567*N567)+IF(OR(LEFT(A567)="G",LEFT(A567)="S"),Stats!$E$3-15+Bonuses!$BO$3,IF(OR(LEFT(A567)="Q",LEFT(A567)="R"),Bonuses!$BQ$3,Bonuses!$BP$3))</f>
        <v>57</v>
      </c>
      <c r="E567" s="125">
        <f t="shared" si="43"/>
        <v>8.5499999999999989</v>
      </c>
      <c r="F567" s="125">
        <f t="shared" si="44"/>
        <v>2.85</v>
      </c>
      <c r="G567" s="84"/>
      <c r="H567" s="85"/>
      <c r="J567" s="394">
        <v>50</v>
      </c>
      <c r="K567" s="80">
        <f>IF(ISERROR(C567*1),-1,C567+IF(LEFT(A567)="T",Bonuses!$BR$3,IF(LEFT(A567)="G",Bonuses!$BS$3,IF(LEFT(A567)="Q",Bonuses!$BT$3,IF(LEFT(A567)="S",Bonuses!$BU$3,IF(LEFT(A567)="R",Bonuses!$BV$3,0))))))+P567</f>
        <v>-1</v>
      </c>
      <c r="L567" s="80">
        <v>1</v>
      </c>
      <c r="M567" s="75">
        <v>60</v>
      </c>
      <c r="N567" s="75">
        <v>3</v>
      </c>
      <c r="O567" s="380"/>
      <c r="P567" s="380"/>
      <c r="R567" s="83">
        <v>4000</v>
      </c>
    </row>
    <row r="568" spans="1:18" x14ac:dyDescent="0.2">
      <c r="A568" s="95" t="s">
        <v>260</v>
      </c>
      <c r="B568" s="79" t="s">
        <v>870</v>
      </c>
      <c r="C568" s="126" t="s">
        <v>283</v>
      </c>
      <c r="D568" s="125">
        <f>M568+O568+(K568*N568)+IF(OR(LEFT(A568)="G",LEFT(A568)="S"),Stats!$E$3-15+Bonuses!$BO$3,IF(OR(LEFT(A568)="Q",LEFT(A568)="R"),Bonuses!$BQ$3,Bonuses!$BP$3))</f>
        <v>17</v>
      </c>
      <c r="E568" s="125">
        <f t="shared" si="43"/>
        <v>2.5499999999999998</v>
      </c>
      <c r="F568" s="125">
        <f t="shared" si="44"/>
        <v>0.85000000000000009</v>
      </c>
      <c r="G568" s="84"/>
      <c r="H568" s="85"/>
      <c r="J568" s="394">
        <v>200</v>
      </c>
      <c r="K568" s="80">
        <f>IF(ISERROR(C568*1),-1,C568+IF(LEFT(A568)="T",Bonuses!$BR$3,IF(LEFT(A568)="G",Bonuses!$BS$3,IF(LEFT(A568)="Q",Bonuses!$BT$3,IF(LEFT(A568)="S",Bonuses!$BU$3,IF(LEFT(A568)="R",Bonuses!$BV$3,0))))))+P568</f>
        <v>-1</v>
      </c>
      <c r="L568" s="80">
        <v>1</v>
      </c>
      <c r="M568" s="75">
        <v>20</v>
      </c>
      <c r="N568" s="75">
        <v>3</v>
      </c>
      <c r="O568" s="380"/>
      <c r="P568" s="380"/>
    </row>
    <row r="569" spans="1:18" x14ac:dyDescent="0.2">
      <c r="A569" s="95" t="s">
        <v>261</v>
      </c>
      <c r="B569" s="79" t="s">
        <v>871</v>
      </c>
      <c r="C569" s="126" t="s">
        <v>283</v>
      </c>
      <c r="D569" s="125">
        <f>M569+O569+(K569*N569)+IF(OR(LEFT(A569)="G",LEFT(A569)="S"),Stats!$E$3-15+Bonuses!$BO$3,IF(OR(LEFT(A569)="Q",LEFT(A569)="R"),Bonuses!$BQ$3,Bonuses!$BP$3))</f>
        <v>27</v>
      </c>
      <c r="E569" s="125">
        <f t="shared" si="43"/>
        <v>4.05</v>
      </c>
      <c r="F569" s="125">
        <f t="shared" si="44"/>
        <v>1.35</v>
      </c>
      <c r="G569" s="84" t="s">
        <v>679</v>
      </c>
      <c r="H569" s="84" t="str">
        <f>2+2*K569&amp;" mins"</f>
        <v>0 mins</v>
      </c>
      <c r="I569" s="94" t="str">
        <f>2+K569&amp;" EN for "&amp;4+K569*2&amp;" FT"</f>
        <v>1 EN for 2 FT</v>
      </c>
      <c r="J569" s="394">
        <v>200</v>
      </c>
      <c r="K569" s="80">
        <f>IF(ISERROR(C569*1),-1,C569+IF(LEFT(A569)="T",Bonuses!$BR$3,IF(LEFT(A569)="G",Bonuses!$BS$3,IF(LEFT(A569)="Q",Bonuses!$BT$3,IF(LEFT(A569)="S",Bonuses!$BU$3,IF(LEFT(A569)="R",Bonuses!$BV$3,0))))))+P569</f>
        <v>-1</v>
      </c>
      <c r="L569" s="80">
        <v>1</v>
      </c>
      <c r="M569" s="75">
        <v>30</v>
      </c>
      <c r="N569" s="75">
        <v>3</v>
      </c>
      <c r="O569" s="380"/>
      <c r="P569" s="380"/>
      <c r="R569" s="83">
        <v>10000</v>
      </c>
    </row>
    <row r="570" spans="1:18" x14ac:dyDescent="0.2">
      <c r="A570" s="95" t="s">
        <v>262</v>
      </c>
      <c r="B570" s="79" t="s">
        <v>872</v>
      </c>
      <c r="C570" s="126" t="s">
        <v>283</v>
      </c>
      <c r="D570" s="125">
        <f>M570+O570+(K570*N570)+IF(OR(LEFT(A570)="G",LEFT(A570)="S"),Stats!$E$3-15+Bonuses!$BO$3,IF(OR(LEFT(A570)="Q",LEFT(A570)="R"),Bonuses!$BQ$3,Bonuses!$BP$3))</f>
        <v>2</v>
      </c>
      <c r="E570" s="125">
        <f t="shared" si="43"/>
        <v>0.3</v>
      </c>
      <c r="F570" s="125">
        <f t="shared" si="44"/>
        <v>0.1</v>
      </c>
      <c r="G570" s="84"/>
      <c r="H570" s="85"/>
      <c r="J570" s="394">
        <v>600</v>
      </c>
      <c r="K570" s="80">
        <f>IF(ISERROR(C570*1),-1,C570+IF(LEFT(A570)="T",Bonuses!$BR$3,IF(LEFT(A570)="G",Bonuses!$BS$3,IF(LEFT(A570)="Q",Bonuses!$BT$3,IF(LEFT(A570)="S",Bonuses!$BU$3,IF(LEFT(A570)="R",Bonuses!$BV$3,0))))))+P570</f>
        <v>-1</v>
      </c>
      <c r="L570" s="80">
        <v>1</v>
      </c>
      <c r="M570" s="75">
        <v>5</v>
      </c>
      <c r="N570" s="75">
        <v>3</v>
      </c>
      <c r="O570" s="380"/>
      <c r="P570" s="380"/>
      <c r="R570" s="83">
        <v>60000</v>
      </c>
    </row>
    <row r="571" spans="1:18" x14ac:dyDescent="0.2">
      <c r="A571" s="95" t="s">
        <v>263</v>
      </c>
      <c r="B571" s="79" t="s">
        <v>873</v>
      </c>
      <c r="C571" s="126" t="s">
        <v>283</v>
      </c>
      <c r="D571" s="125">
        <f>M571+O571+(K571*N571)+IF(OR(LEFT(A571)="G",LEFT(A571)="S"),Stats!$E$3-15+Bonuses!$BO$3,IF(OR(LEFT(A571)="Q",LEFT(A571)="R"),Bonuses!$BQ$3,Bonuses!$BP$3))</f>
        <v>17</v>
      </c>
      <c r="E571" s="125">
        <f t="shared" si="43"/>
        <v>2.5499999999999998</v>
      </c>
      <c r="F571" s="125">
        <f t="shared" si="44"/>
        <v>0.85000000000000009</v>
      </c>
      <c r="G571" s="84"/>
      <c r="H571" s="85"/>
      <c r="J571" s="394">
        <v>350</v>
      </c>
      <c r="K571" s="80">
        <f>IF(ISERROR(C571*1),-1,C571+IF(LEFT(A571)="T",Bonuses!$BR$3,IF(LEFT(A571)="G",Bonuses!$BS$3,IF(LEFT(A571)="Q",Bonuses!$BT$3,IF(LEFT(A571)="S",Bonuses!$BU$3,IF(LEFT(A571)="R",Bonuses!$BV$3,0))))))+P571</f>
        <v>-1</v>
      </c>
      <c r="L571" s="80">
        <v>1</v>
      </c>
      <c r="M571" s="75">
        <v>20</v>
      </c>
      <c r="N571" s="75">
        <v>3</v>
      </c>
      <c r="O571" s="380"/>
      <c r="P571" s="380"/>
      <c r="R571" s="83">
        <v>15000</v>
      </c>
    </row>
    <row r="572" spans="1:18" x14ac:dyDescent="0.2">
      <c r="A572" s="95" t="s">
        <v>264</v>
      </c>
      <c r="B572" s="79" t="s">
        <v>296</v>
      </c>
      <c r="C572" s="126" t="s">
        <v>283</v>
      </c>
      <c r="D572" s="125">
        <f>M572+O572+(K572*N572)+IF(OR(LEFT(A572)="G",LEFT(A572)="S"),Stats!$E$3-15+Bonuses!$BO$3,IF(OR(LEFT(A572)="Q",LEFT(A572)="R"),Bonuses!$BQ$3,Bonuses!$BP$3))</f>
        <v>17</v>
      </c>
      <c r="E572" s="125">
        <f t="shared" si="43"/>
        <v>2.5499999999999998</v>
      </c>
      <c r="F572" s="125">
        <f t="shared" si="44"/>
        <v>0.85000000000000009</v>
      </c>
      <c r="G572" s="84"/>
      <c r="H572" s="85"/>
      <c r="J572" s="394">
        <v>300</v>
      </c>
      <c r="K572" s="80">
        <f>IF(ISERROR(C572*1),-1,C572+IF(LEFT(A572)="T",Bonuses!$BR$3,IF(LEFT(A572)="G",Bonuses!$BS$3,IF(LEFT(A572)="Q",Bonuses!$BT$3,IF(LEFT(A572)="S",Bonuses!$BU$3,IF(LEFT(A572)="R",Bonuses!$BV$3,0))))))+P572</f>
        <v>-1</v>
      </c>
      <c r="L572" s="80">
        <v>1</v>
      </c>
      <c r="M572" s="75">
        <v>20</v>
      </c>
      <c r="N572" s="75">
        <v>3</v>
      </c>
      <c r="O572" s="380"/>
      <c r="P572" s="380"/>
      <c r="R572" s="83">
        <v>5000</v>
      </c>
    </row>
    <row r="573" spans="1:18" x14ac:dyDescent="0.2">
      <c r="A573" s="95" t="s">
        <v>700</v>
      </c>
      <c r="B573" s="79" t="s">
        <v>874</v>
      </c>
      <c r="C573" s="126" t="s">
        <v>283</v>
      </c>
      <c r="D573" s="125">
        <f>M573+O573+(K573*N573)+IF(OR(LEFT(A573)="G",LEFT(A573)="S"),Stats!$E$3-15+Bonuses!$BO$3,IF(OR(LEFT(A573)="Q",LEFT(A573)="R"),Bonuses!$BQ$3,Bonuses!$BP$3))</f>
        <v>2</v>
      </c>
      <c r="E573" s="125">
        <f t="shared" si="43"/>
        <v>0.3</v>
      </c>
      <c r="F573" s="125">
        <f t="shared" si="44"/>
        <v>0.1</v>
      </c>
      <c r="G573" s="84"/>
      <c r="H573" s="84"/>
      <c r="I573" s="94" t="str">
        <f>1+CEILING(K573/3,1)&amp;" Ent. "&amp;-5-K573&amp;"%mr D+"&amp;K573*2&amp;" Dam. Res 1/2"</f>
        <v>1 Ent. -4%mr D+-2 Dam. Res 1/2</v>
      </c>
      <c r="J573" s="394">
        <v>650</v>
      </c>
      <c r="K573" s="80">
        <f>IF(ISERROR(C573*1),-1,C573+IF(LEFT(A573)="T",Bonuses!$BR$3,IF(LEFT(A573)="G",Bonuses!$BS$3,IF(LEFT(A573)="Q",Bonuses!$BT$3,IF(LEFT(A573)="S",Bonuses!$BU$3,IF(LEFT(A573)="R",Bonuses!$BV$3,0))))))+P573</f>
        <v>-1</v>
      </c>
      <c r="L573" s="80">
        <v>1</v>
      </c>
      <c r="M573" s="75">
        <v>5</v>
      </c>
      <c r="N573" s="75">
        <v>3</v>
      </c>
      <c r="O573" s="380"/>
      <c r="P573" s="380"/>
      <c r="R573" s="83">
        <v>40000</v>
      </c>
    </row>
    <row r="574" spans="1:18" x14ac:dyDescent="0.2">
      <c r="A574" s="95" t="s">
        <v>702</v>
      </c>
      <c r="B574" s="79" t="s">
        <v>875</v>
      </c>
      <c r="C574" s="126" t="s">
        <v>283</v>
      </c>
      <c r="D574" s="125">
        <f>M574+O574+(K574*N574)+IF(OR(LEFT(A574)="G",LEFT(A574)="S"),Stats!$E$3-15+Bonuses!$BO$3,IF(OR(LEFT(A574)="Q",LEFT(A574)="R"),Bonuses!$BQ$3,Bonuses!$BP$3))</f>
        <v>17</v>
      </c>
      <c r="E574" s="125">
        <f t="shared" si="43"/>
        <v>2.5499999999999998</v>
      </c>
      <c r="F574" s="125">
        <f t="shared" si="44"/>
        <v>0.85000000000000009</v>
      </c>
      <c r="G574" s="84" t="s">
        <v>679</v>
      </c>
      <c r="H574" s="85" t="str">
        <f>"Con.&lt;"&amp;0.5+K574/2&amp;" Hours"</f>
        <v>Con.&lt;0 Hours</v>
      </c>
      <c r="I574" s="94" t="str">
        <f>"Item "&amp;K574*5+5&amp;" lbs "&amp;20+2*K574&amp;"mph "&amp;150+K574*50&amp;" lbs"</f>
        <v>Item 0 lbs 18mph 100 lbs</v>
      </c>
      <c r="J574" s="394">
        <v>350</v>
      </c>
      <c r="K574" s="80">
        <f>IF(ISERROR(C574*1),-1,C574+IF(LEFT(A574)="T",Bonuses!$BR$3,IF(LEFT(A574)="G",Bonuses!$BS$3,IF(LEFT(A574)="Q",Bonuses!$BT$3,IF(LEFT(A574)="S",Bonuses!$BU$3,IF(LEFT(A574)="R",Bonuses!$BV$3,0))))))+P574</f>
        <v>-1</v>
      </c>
      <c r="L574" s="80">
        <v>1</v>
      </c>
      <c r="M574" s="75">
        <v>20</v>
      </c>
      <c r="N574" s="75">
        <v>3</v>
      </c>
      <c r="O574" s="380"/>
      <c r="P574" s="380"/>
      <c r="R574" s="83">
        <v>11000</v>
      </c>
    </row>
    <row r="575" spans="1:18" x14ac:dyDescent="0.2">
      <c r="A575" s="95" t="s">
        <v>735</v>
      </c>
      <c r="B575" s="79" t="s">
        <v>876</v>
      </c>
      <c r="C575" s="126" t="s">
        <v>283</v>
      </c>
      <c r="D575" s="125">
        <f>M575+O575+(K575*N575)+IF(OR(LEFT(A575)="G",LEFT(A575)="S"),Stats!$E$3-15+Bonuses!$BO$3,IF(OR(LEFT(A575)="Q",LEFT(A575)="R"),Bonuses!$BQ$3,Bonuses!$BP$3))</f>
        <v>5</v>
      </c>
      <c r="E575" s="125">
        <f t="shared" si="43"/>
        <v>0.75</v>
      </c>
      <c r="F575" s="125">
        <f t="shared" si="44"/>
        <v>0.25</v>
      </c>
      <c r="G575" s="84"/>
      <c r="H575" s="85"/>
      <c r="J575" s="394">
        <v>400</v>
      </c>
      <c r="K575" s="80">
        <f>IF(ISERROR(C575*1),-1,C575+IF(LEFT(A575)="T",Bonuses!$BR$3,IF(LEFT(A575)="G",Bonuses!$BS$3,IF(LEFT(A575)="Q",Bonuses!$BT$3,IF(LEFT(A575)="S",Bonuses!$BU$3,IF(LEFT(A575)="R",Bonuses!$BV$3,0))))))+P575</f>
        <v>-1</v>
      </c>
      <c r="L575" s="80">
        <v>1</v>
      </c>
      <c r="M575" s="75">
        <v>10</v>
      </c>
      <c r="N575" s="75">
        <v>5</v>
      </c>
      <c r="O575" s="380"/>
      <c r="P575" s="380"/>
      <c r="R575" s="83">
        <v>9000</v>
      </c>
    </row>
    <row r="576" spans="1:18" x14ac:dyDescent="0.2">
      <c r="A576" s="95" t="s">
        <v>737</v>
      </c>
      <c r="B576" s="79" t="s">
        <v>877</v>
      </c>
      <c r="C576" s="126" t="s">
        <v>283</v>
      </c>
      <c r="D576" s="125">
        <f>M576+O576+(K576*N576)+IF(OR(LEFT(A576)="G",LEFT(A576)="S"),Stats!$E$3-15+Bonuses!$BO$3,IF(OR(LEFT(A576)="Q",LEFT(A576)="R"),Bonuses!$BQ$3,Bonuses!$BP$3))</f>
        <v>40</v>
      </c>
      <c r="E576" s="125">
        <f t="shared" si="43"/>
        <v>6</v>
      </c>
      <c r="F576" s="125">
        <f t="shared" si="44"/>
        <v>2</v>
      </c>
      <c r="G576" s="84"/>
      <c r="H576" s="84"/>
      <c r="J576" s="394">
        <v>150</v>
      </c>
      <c r="K576" s="80">
        <f>IF(ISERROR(C576*1),-1,C576+IF(LEFT(A576)="T",Bonuses!$BR$3,IF(LEFT(A576)="G",Bonuses!$BS$3,IF(LEFT(A576)="Q",Bonuses!$BT$3,IF(LEFT(A576)="S",Bonuses!$BU$3,IF(LEFT(A576)="R",Bonuses!$BV$3,0))))))+P576</f>
        <v>-1</v>
      </c>
      <c r="L576" s="80">
        <v>1</v>
      </c>
      <c r="M576" s="75">
        <v>45</v>
      </c>
      <c r="N576" s="75">
        <v>5</v>
      </c>
      <c r="O576" s="380"/>
      <c r="P576" s="380"/>
    </row>
    <row r="577" spans="1:18" x14ac:dyDescent="0.2">
      <c r="A577" s="95" t="s">
        <v>739</v>
      </c>
      <c r="B577" s="79" t="s">
        <v>878</v>
      </c>
      <c r="C577" s="126" t="s">
        <v>283</v>
      </c>
      <c r="D577" s="125">
        <f>M577+O577+(K577*N577)+IF(OR(LEFT(A577)="G",LEFT(A577)="S"),Stats!$E$3-15+Bonuses!$BO$3,IF(OR(LEFT(A577)="Q",LEFT(A577)="R"),Bonuses!$BQ$3,Bonuses!$BP$3))</f>
        <v>27</v>
      </c>
      <c r="E577" s="125">
        <f t="shared" si="43"/>
        <v>4.05</v>
      </c>
      <c r="F577" s="125">
        <f t="shared" si="44"/>
        <v>1.35</v>
      </c>
      <c r="G577" s="84"/>
      <c r="H577" s="85"/>
      <c r="J577" s="394">
        <v>350</v>
      </c>
      <c r="K577" s="80">
        <f>IF(ISERROR(C577*1),-1,C577+IF(LEFT(A577)="T",Bonuses!$BR$3,IF(LEFT(A577)="G",Bonuses!$BS$3,IF(LEFT(A577)="Q",Bonuses!$BT$3,IF(LEFT(A577)="S",Bonuses!$BU$3,IF(LEFT(A577)="R",Bonuses!$BV$3,0))))))+P577</f>
        <v>-1</v>
      </c>
      <c r="L577" s="80">
        <v>1</v>
      </c>
      <c r="M577" s="75">
        <v>30</v>
      </c>
      <c r="N577" s="75">
        <v>3</v>
      </c>
      <c r="O577" s="380"/>
      <c r="P577" s="380"/>
      <c r="R577" s="83">
        <v>12500</v>
      </c>
    </row>
    <row r="578" spans="1:18" x14ac:dyDescent="0.2">
      <c r="A578" s="95" t="s">
        <v>778</v>
      </c>
      <c r="B578" s="79" t="s">
        <v>879</v>
      </c>
      <c r="C578" s="126" t="s">
        <v>283</v>
      </c>
      <c r="D578" s="125">
        <f>M578+O578+(K578*N578)+IF(OR(LEFT(A578)="G",LEFT(A578)="S"),Stats!$E$3-15+Bonuses!$BO$3,IF(OR(LEFT(A578)="Q",LEFT(A578)="R"),Bonuses!$BQ$3,Bonuses!$BP$3))</f>
        <v>27</v>
      </c>
      <c r="E578" s="125">
        <f t="shared" si="43"/>
        <v>4.05</v>
      </c>
      <c r="F578" s="125">
        <f t="shared" si="44"/>
        <v>1.35</v>
      </c>
      <c r="G578" s="84"/>
      <c r="H578" s="85"/>
      <c r="J578" s="394">
        <v>100</v>
      </c>
      <c r="K578" s="80">
        <f>IF(ISERROR(C578*1),-1,C578+IF(LEFT(A578)="T",Bonuses!$BR$3,IF(LEFT(A578)="G",Bonuses!$BS$3,IF(LEFT(A578)="Q",Bonuses!$BT$3,IF(LEFT(A578)="S",Bonuses!$BU$3,IF(LEFT(A578)="R",Bonuses!$BV$3,0))))))+P578</f>
        <v>-1</v>
      </c>
      <c r="L578" s="80">
        <v>1</v>
      </c>
      <c r="M578" s="75">
        <v>30</v>
      </c>
      <c r="N578" s="75">
        <v>3</v>
      </c>
      <c r="O578" s="380"/>
      <c r="P578" s="380"/>
      <c r="R578" s="83">
        <v>2000</v>
      </c>
    </row>
    <row r="579" spans="1:18" x14ac:dyDescent="0.2">
      <c r="A579" s="95" t="s">
        <v>780</v>
      </c>
      <c r="B579" s="87" t="s">
        <v>880</v>
      </c>
      <c r="C579" s="126" t="s">
        <v>283</v>
      </c>
      <c r="D579" s="125">
        <f>M579+O579+(K579*N579)+IF(OR(LEFT(A579)="G",LEFT(A579)="S"),Stats!$E$3-15+Bonuses!$BO$3,IF(OR(LEFT(A579)="Q",LEFT(A579)="R"),Bonuses!$BQ$3,Bonuses!$BP$3))</f>
        <v>17</v>
      </c>
      <c r="E579" s="125">
        <f t="shared" si="43"/>
        <v>2.5499999999999998</v>
      </c>
      <c r="F579" s="125">
        <f t="shared" si="44"/>
        <v>0.85000000000000009</v>
      </c>
      <c r="G579" s="84"/>
      <c r="H579" s="85"/>
      <c r="I579" s="90"/>
      <c r="J579" s="395">
        <v>150</v>
      </c>
      <c r="K579" s="80">
        <f>IF(ISERROR(C579*1),-1,C579+IF(LEFT(A579)="T",Bonuses!$BR$3,IF(LEFT(A579)="G",Bonuses!$BS$3,IF(LEFT(A579)="Q",Bonuses!$BT$3,IF(LEFT(A579)="S",Bonuses!$BU$3,IF(LEFT(A579)="R",Bonuses!$BV$3,0))))))+P579</f>
        <v>-1</v>
      </c>
      <c r="L579" s="84">
        <v>1</v>
      </c>
      <c r="M579" s="89">
        <v>20</v>
      </c>
      <c r="N579" s="75">
        <v>3</v>
      </c>
      <c r="O579" s="380"/>
      <c r="P579" s="380"/>
      <c r="Q579" s="93"/>
      <c r="R579" s="91">
        <v>5000</v>
      </c>
    </row>
    <row r="580" spans="1:18" x14ac:dyDescent="0.2">
      <c r="A580" s="95" t="s">
        <v>625</v>
      </c>
      <c r="B580" s="79" t="s">
        <v>881</v>
      </c>
      <c r="C580" s="126" t="s">
        <v>283</v>
      </c>
      <c r="D580" s="125">
        <f>M580+O580+(K580*N580)+IF(OR(LEFT(A580)="G",LEFT(A580)="S"),Stats!$E$3-15+Bonuses!$BO$3,IF(OR(LEFT(A580)="Q",LEFT(A580)="R"),Bonuses!$BQ$3,Bonuses!$BP$3))</f>
        <v>27</v>
      </c>
      <c r="E580" s="125">
        <f t="shared" si="43"/>
        <v>4.05</v>
      </c>
      <c r="F580" s="125">
        <f t="shared" si="44"/>
        <v>1.35</v>
      </c>
      <c r="J580" s="395">
        <v>300</v>
      </c>
      <c r="K580" s="80">
        <f>IF(ISERROR(C580*1),-1,C580+IF(LEFT(A580)="T",Bonuses!$BR$3,IF(LEFT(A580)="G",Bonuses!$BS$3,IF(LEFT(A580)="Q",Bonuses!$BT$3,IF(LEFT(A580)="S",Bonuses!$BU$3,IF(LEFT(A580)="R",Bonuses!$BV$3,0))))))+P580</f>
        <v>-1</v>
      </c>
      <c r="L580" s="80">
        <v>7</v>
      </c>
      <c r="M580" s="75">
        <v>30</v>
      </c>
      <c r="N580" s="75">
        <v>3</v>
      </c>
      <c r="O580" s="380"/>
      <c r="P580" s="380"/>
      <c r="R580" s="83">
        <v>15000</v>
      </c>
    </row>
    <row r="581" spans="1:18" x14ac:dyDescent="0.2">
      <c r="A581" s="95" t="s">
        <v>627</v>
      </c>
      <c r="B581" s="79" t="s">
        <v>882</v>
      </c>
      <c r="C581" s="126" t="s">
        <v>283</v>
      </c>
      <c r="D581" s="125">
        <f>M581+O581+(K581*N581)+IF(OR(LEFT(A581)="G",LEFT(A581)="S"),Stats!$E$3-15+Bonuses!$BO$3,IF(OR(LEFT(A581)="Q",LEFT(A581)="R"),Bonuses!$BQ$3,Bonuses!$BP$3))</f>
        <v>16</v>
      </c>
      <c r="E581" s="125">
        <f t="shared" si="43"/>
        <v>2.4</v>
      </c>
      <c r="F581" s="125">
        <f t="shared" si="44"/>
        <v>0.8</v>
      </c>
      <c r="J581" s="394">
        <v>450</v>
      </c>
      <c r="K581" s="80">
        <f>IF(ISERROR(C581*1),-1,C581+IF(LEFT(A581)="T",Bonuses!$BR$3,IF(LEFT(A581)="G",Bonuses!$BS$3,IF(LEFT(A581)="Q",Bonuses!$BT$3,IF(LEFT(A581)="S",Bonuses!$BU$3,IF(LEFT(A581)="R",Bonuses!$BV$3,0))))))+P581</f>
        <v>-1</v>
      </c>
      <c r="L581" s="80">
        <v>7</v>
      </c>
      <c r="M581" s="75">
        <v>20</v>
      </c>
      <c r="N581" s="75">
        <v>4</v>
      </c>
      <c r="O581" s="380"/>
      <c r="P581" s="380"/>
      <c r="R581" s="83">
        <v>10000</v>
      </c>
    </row>
    <row r="582" spans="1:18" x14ac:dyDescent="0.2">
      <c r="A582" s="95" t="s">
        <v>629</v>
      </c>
      <c r="B582" s="79" t="s">
        <v>883</v>
      </c>
      <c r="C582" s="126" t="s">
        <v>283</v>
      </c>
      <c r="D582" s="125">
        <f>M582+O582+(K582*N582)+IF(OR(LEFT(A582)="G",LEFT(A582)="S"),Stats!$E$3-15+Bonuses!$BO$3,IF(OR(LEFT(A582)="Q",LEFT(A582)="R"),Bonuses!$BQ$3,Bonuses!$BP$3))</f>
        <v>0</v>
      </c>
      <c r="E582" s="125">
        <f t="shared" si="43"/>
        <v>0</v>
      </c>
      <c r="F582" s="125">
        <f t="shared" si="44"/>
        <v>0</v>
      </c>
      <c r="J582" s="394">
        <v>0</v>
      </c>
      <c r="K582" s="80">
        <f>IF(ISERROR(C582*1),-1,C582+IF(LEFT(A582)="T",Bonuses!$BR$3,IF(LEFT(A582)="G",Bonuses!$BS$3,IF(LEFT(A582)="Q",Bonuses!$BT$3,IF(LEFT(A582)="S",Bonuses!$BU$3,IF(LEFT(A582)="R",Bonuses!$BV$3,0))))))+P582</f>
        <v>-1</v>
      </c>
      <c r="L582" s="80">
        <v>7</v>
      </c>
      <c r="O582" s="380"/>
      <c r="P582" s="380"/>
    </row>
    <row r="583" spans="1:18" x14ac:dyDescent="0.2">
      <c r="A583" s="95" t="s">
        <v>632</v>
      </c>
      <c r="B583" s="79" t="s">
        <v>884</v>
      </c>
      <c r="C583" s="126" t="s">
        <v>283</v>
      </c>
      <c r="D583" s="125">
        <f>M583+O583+(K583*N583)+IF(OR(LEFT(A583)="G",LEFT(A583)="S"),Stats!$E$3-15+Bonuses!$BO$3,IF(OR(LEFT(A583)="Q",LEFT(A583)="R"),Bonuses!$BQ$3,Bonuses!$BP$3))</f>
        <v>0</v>
      </c>
      <c r="E583" s="125">
        <f t="shared" si="43"/>
        <v>0</v>
      </c>
      <c r="F583" s="125">
        <f t="shared" si="44"/>
        <v>0</v>
      </c>
      <c r="J583" s="394">
        <v>0</v>
      </c>
      <c r="K583" s="80">
        <f>IF(ISERROR(C583*1),-1,C583+IF(LEFT(A583)="T",Bonuses!$BR$3,IF(LEFT(A583)="G",Bonuses!$BS$3,IF(LEFT(A583)="Q",Bonuses!$BT$3,IF(LEFT(A583)="S",Bonuses!$BU$3,IF(LEFT(A583)="R",Bonuses!$BV$3,0))))))+P583</f>
        <v>-1</v>
      </c>
      <c r="L583" s="80">
        <v>7</v>
      </c>
      <c r="O583" s="380"/>
      <c r="P583" s="380"/>
    </row>
    <row r="584" spans="1:18" x14ac:dyDescent="0.2">
      <c r="A584" s="95" t="s">
        <v>634</v>
      </c>
      <c r="B584" s="79" t="s">
        <v>885</v>
      </c>
      <c r="C584" s="126" t="s">
        <v>283</v>
      </c>
      <c r="D584" s="125">
        <f>M584+O584+(K584*N584)+IF(OR(LEFT(A584)="G",LEFT(A584)="S"),Stats!$E$3-15+Bonuses!$BO$3,IF(OR(LEFT(A584)="Q",LEFT(A584)="R"),Bonuses!$BQ$3,Bonuses!$BP$3))</f>
        <v>10</v>
      </c>
      <c r="E584" s="125">
        <f t="shared" si="43"/>
        <v>1.5</v>
      </c>
      <c r="F584" s="125">
        <f t="shared" si="44"/>
        <v>0.5</v>
      </c>
      <c r="J584" s="394">
        <v>150</v>
      </c>
      <c r="K584" s="80">
        <f>IF(ISERROR(C584*1),-1,C584+IF(LEFT(A584)="T",Bonuses!$BR$3,IF(LEFT(A584)="G",Bonuses!$BS$3,IF(LEFT(A584)="Q",Bonuses!$BT$3,IF(LEFT(A584)="S",Bonuses!$BU$3,IF(LEFT(A584)="R",Bonuses!$BV$3,0))))))+P584</f>
        <v>-1</v>
      </c>
      <c r="L584" s="80">
        <v>7</v>
      </c>
      <c r="M584" s="75">
        <f>Stats!$E$3</f>
        <v>15</v>
      </c>
      <c r="N584" s="75">
        <v>5</v>
      </c>
      <c r="O584" s="380"/>
      <c r="P584" s="380"/>
      <c r="Q584" s="83"/>
      <c r="R584" s="83">
        <v>5000</v>
      </c>
    </row>
    <row r="586" spans="1:18" ht="15" customHeight="1" x14ac:dyDescent="0.2">
      <c r="A586" s="73"/>
      <c r="B586" s="73" t="s">
        <v>886</v>
      </c>
      <c r="C586" s="74" t="s">
        <v>149</v>
      </c>
      <c r="D586" s="97" t="s">
        <v>231</v>
      </c>
      <c r="E586" s="97" t="s">
        <v>265</v>
      </c>
      <c r="F586" s="97" t="s">
        <v>266</v>
      </c>
      <c r="G586" s="74" t="s">
        <v>2</v>
      </c>
      <c r="H586" s="74" t="s">
        <v>232</v>
      </c>
      <c r="I586" s="74" t="s">
        <v>234</v>
      </c>
      <c r="J586" s="393" t="s">
        <v>233</v>
      </c>
      <c r="K586" s="75" t="s">
        <v>149</v>
      </c>
      <c r="L586" s="75" t="s">
        <v>235</v>
      </c>
      <c r="M586" s="75" t="s">
        <v>236</v>
      </c>
      <c r="N586" s="76" t="s">
        <v>269</v>
      </c>
      <c r="O586" s="3" t="s">
        <v>169</v>
      </c>
      <c r="P586" s="3" t="s">
        <v>171</v>
      </c>
      <c r="Q586" s="77" t="s">
        <v>237</v>
      </c>
      <c r="R586" s="78" t="s">
        <v>238</v>
      </c>
    </row>
    <row r="587" spans="1:18" x14ac:dyDescent="0.2">
      <c r="A587" s="95" t="s">
        <v>811</v>
      </c>
      <c r="B587" s="79" t="s">
        <v>812</v>
      </c>
      <c r="C587" s="126">
        <v>0</v>
      </c>
      <c r="D587" s="125"/>
      <c r="E587" s="125"/>
      <c r="F587" s="125"/>
      <c r="G587" s="256" t="s">
        <v>287</v>
      </c>
      <c r="I587" s="94" t="str">
        <f>"See 150' in Dark, Unseen, Invis &lt; rk "&amp;K587+1</f>
        <v>See 150' in Dark, Unseen, Invis &lt; rk 1</v>
      </c>
      <c r="J587" s="394">
        <v>200</v>
      </c>
      <c r="K587" s="80">
        <f>IF(ISERROR(C587*1),-1,C587+IF(LEFT(A587)="T",Bonuses!$BR$3,IF(LEFT(A587)="G",Bonuses!$BS$3,IF(LEFT(A587)="Q",Bonuses!$BT$3,IF(LEFT(A587)="S",Bonuses!$BU$3,IF(LEFT(A587)="R",Bonuses!$BV$3,0))))))+P587</f>
        <v>0</v>
      </c>
      <c r="L587" s="80">
        <v>0</v>
      </c>
      <c r="O587" s="380"/>
      <c r="P587" s="380"/>
    </row>
    <row r="588" spans="1:18" x14ac:dyDescent="0.2">
      <c r="A588" s="534" t="s">
        <v>1467</v>
      </c>
      <c r="B588" s="79" t="s">
        <v>1468</v>
      </c>
      <c r="C588" s="536"/>
      <c r="D588" s="257"/>
      <c r="E588" s="257"/>
      <c r="F588" s="257"/>
      <c r="G588" s="87" t="s">
        <v>1469</v>
      </c>
      <c r="H588" s="88"/>
      <c r="I588" s="535" t="s">
        <v>1470</v>
      </c>
    </row>
    <row r="589" spans="1:18" x14ac:dyDescent="0.2">
      <c r="A589" s="95" t="s">
        <v>838</v>
      </c>
      <c r="B589" s="87" t="s">
        <v>808</v>
      </c>
      <c r="C589" s="126" t="s">
        <v>283</v>
      </c>
      <c r="D589" s="125">
        <f>M589+O589+(K589*N589)+IF(OR(LEFT(A589)="G",LEFT(A589)="S"),Stats!$E$3-15+Bonuses!$BO$3,IF(OR(LEFT(A589)="Q",LEFT(A589)="R"),Bonuses!$BQ$3,Bonuses!$BP$3))</f>
        <v>10</v>
      </c>
      <c r="E589" s="125">
        <f>D589*0.15</f>
        <v>1.5</v>
      </c>
      <c r="F589" s="125">
        <f>D589*0.05</f>
        <v>0.5</v>
      </c>
      <c r="G589" s="84"/>
      <c r="H589" s="85"/>
      <c r="I589" s="94" t="str">
        <f>"L: "&amp;D589&amp;"% / G: "&amp;D589+(Stats!$E$3-Magic!M589)-(K589*3)&amp;"% / D: "&amp;D589+(Stats!$E$3-Magic!M589)-(K589*4)&amp;"% -cMA"</f>
        <v>L: 10% / G: 13% / D: 14% -cMA</v>
      </c>
      <c r="J589" s="394">
        <v>500</v>
      </c>
      <c r="K589" s="80">
        <f>IF(ISERROR(C589*1),-1,C589+IF(LEFT(A589)="T",Bonuses!$BR$3,IF(LEFT(A589)="G",Bonuses!$BS$3,IF(LEFT(A589)="Q",Bonuses!$BT$3,IF(LEFT(A589)="S",Bonuses!$BU$3,IF(LEFT(A589)="R",Bonuses!$BV$3,0))))))+P589</f>
        <v>-1</v>
      </c>
      <c r="L589" s="80">
        <v>7</v>
      </c>
      <c r="M589" s="75">
        <v>15</v>
      </c>
      <c r="N589" s="75">
        <v>5</v>
      </c>
      <c r="O589" s="380"/>
      <c r="P589" s="380"/>
      <c r="Q589" s="93"/>
      <c r="R589" s="91">
        <v>5000</v>
      </c>
    </row>
    <row r="590" spans="1:18" x14ac:dyDescent="0.2">
      <c r="A590" s="95" t="s">
        <v>841</v>
      </c>
      <c r="B590" s="79" t="s">
        <v>807</v>
      </c>
      <c r="C590" s="126" t="s">
        <v>283</v>
      </c>
      <c r="D590" s="125"/>
      <c r="E590" s="125"/>
      <c r="F590" s="125"/>
      <c r="G590" s="84"/>
      <c r="H590" s="85"/>
      <c r="J590" s="394">
        <v>250</v>
      </c>
      <c r="K590" s="80">
        <f>IF(ISERROR(C590*1),-1,C590+IF(LEFT(A590)="T",Bonuses!$BR$3,IF(LEFT(A590)="G",Bonuses!$BS$3,IF(LEFT(A590)="Q",Bonuses!$BT$3,IF(LEFT(A590)="S",Bonuses!$BU$3,IF(LEFT(A590)="R",Bonuses!$BV$3,0))))))+P590</f>
        <v>-1</v>
      </c>
      <c r="L590" s="80">
        <v>1</v>
      </c>
      <c r="M590" s="75">
        <v>100</v>
      </c>
      <c r="N590" s="75">
        <v>0</v>
      </c>
      <c r="O590" s="380"/>
      <c r="P590" s="380"/>
      <c r="R590" s="83">
        <v>15000</v>
      </c>
    </row>
    <row r="591" spans="1:18" x14ac:dyDescent="0.2">
      <c r="A591" s="95" t="s">
        <v>839</v>
      </c>
      <c r="B591" s="79" t="s">
        <v>809</v>
      </c>
      <c r="C591" s="126" t="s">
        <v>283</v>
      </c>
      <c r="D591" s="125">
        <f>M591+O591+(K591*N591)+IF(OR(LEFT(A591)="G",LEFT(A591)="S"),Stats!$E$3-15+Bonuses!$BO$3,IF(OR(LEFT(A591)="Q",LEFT(A591)="R"),Bonuses!$BQ$3,Bonuses!$BP$3))</f>
        <v>12</v>
      </c>
      <c r="E591" s="125">
        <f>D591*0.15</f>
        <v>1.7999999999999998</v>
      </c>
      <c r="F591" s="125">
        <f>D591*0.05</f>
        <v>0.60000000000000009</v>
      </c>
      <c r="G591" s="84"/>
      <c r="H591" s="88"/>
      <c r="J591" s="394">
        <v>300</v>
      </c>
      <c r="K591" s="80">
        <f>IF(ISERROR(C591*1),-1,C591+IF(LEFT(A591)="T",Bonuses!$BR$3,IF(LEFT(A591)="G",Bonuses!$BS$3,IF(LEFT(A591)="Q",Bonuses!$BT$3,IF(LEFT(A591)="S",Bonuses!$BU$3,IF(LEFT(A591)="R",Bonuses!$BV$3,0))))))+P591</f>
        <v>-1</v>
      </c>
      <c r="L591" s="80">
        <v>7</v>
      </c>
      <c r="M591" s="75">
        <f>Stats!$E$3</f>
        <v>15</v>
      </c>
      <c r="N591" s="75">
        <v>3</v>
      </c>
      <c r="O591" s="380"/>
      <c r="P591" s="380"/>
      <c r="R591" s="91">
        <v>100000</v>
      </c>
    </row>
    <row r="592" spans="1:18" x14ac:dyDescent="0.2">
      <c r="A592" s="95" t="s">
        <v>840</v>
      </c>
      <c r="B592" s="79" t="s">
        <v>810</v>
      </c>
      <c r="C592" s="126" t="s">
        <v>283</v>
      </c>
      <c r="D592" s="125">
        <f>M592+O592+(K592*N592)+IF(OR(LEFT(A592)="G",LEFT(A592)="S"),Stats!$E$3-15+Bonuses!$BO$3,IF(OR(LEFT(A592)="Q",LEFT(A592)="R"),Bonuses!$BQ$3,Bonuses!$BP$3))</f>
        <v>12</v>
      </c>
      <c r="E592" s="125">
        <f>D592*0.15</f>
        <v>1.7999999999999998</v>
      </c>
      <c r="F592" s="125">
        <f>D592*0.05</f>
        <v>0.60000000000000009</v>
      </c>
      <c r="G592" s="84"/>
      <c r="H592" s="88"/>
      <c r="J592" s="394">
        <v>400</v>
      </c>
      <c r="K592" s="80">
        <f>IF(ISERROR(C592*1),-1,C592+IF(LEFT(A592)="T",Bonuses!$BR$3,IF(LEFT(A592)="G",Bonuses!$BS$3,IF(LEFT(A592)="Q",Bonuses!$BT$3,IF(LEFT(A592)="S",Bonuses!$BU$3,IF(LEFT(A592)="R",Bonuses!$BV$3,0))))))+P592</f>
        <v>-1</v>
      </c>
      <c r="L592" s="80">
        <v>7</v>
      </c>
      <c r="M592" s="75">
        <f>Stats!$E$3</f>
        <v>15</v>
      </c>
      <c r="N592" s="75">
        <v>3</v>
      </c>
      <c r="O592" s="380"/>
      <c r="P592" s="380"/>
      <c r="R592" s="83">
        <v>4000</v>
      </c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E110"/>
  <sheetViews>
    <sheetView workbookViewId="0">
      <pane xSplit="1" ySplit="1" topLeftCell="B2" activePane="bottomRight" state="frozenSplit"/>
      <selection activeCell="B3" sqref="B3"/>
      <selection pane="topRight" activeCell="B3" sqref="B3"/>
      <selection pane="bottomLeft" activeCell="B3" sqref="B3"/>
      <selection pane="bottomRight" activeCell="N24" sqref="N24"/>
    </sheetView>
  </sheetViews>
  <sheetFormatPr defaultColWidth="9.140625" defaultRowHeight="12" x14ac:dyDescent="0.2"/>
  <cols>
    <col min="1" max="1" width="19.7109375" style="50" bestFit="1" customWidth="1"/>
    <col min="2" max="2" width="6.85546875" style="51" customWidth="1"/>
    <col min="3" max="3" width="7.7109375" style="51" customWidth="1"/>
    <col min="4" max="4" width="5.7109375" style="51" bestFit="1" customWidth="1"/>
    <col min="5" max="5" width="6.42578125" style="51" bestFit="1" customWidth="1"/>
    <col min="6" max="7" width="5.42578125" style="51" bestFit="1" customWidth="1"/>
    <col min="8" max="8" width="6.140625" style="51" bestFit="1" customWidth="1"/>
    <col min="9" max="9" width="5.85546875" style="51" bestFit="1" customWidth="1"/>
    <col min="10" max="12" width="9.140625" style="3"/>
    <col min="13" max="13" width="4.140625" style="34" customWidth="1"/>
    <col min="14" max="14" width="17.7109375" style="34" customWidth="1"/>
    <col min="15" max="15" width="4.42578125" style="34" customWidth="1"/>
    <col min="16" max="16" width="6.140625" style="3" customWidth="1"/>
    <col min="17" max="17" width="50.28515625" style="34" customWidth="1"/>
    <col min="18" max="18" width="9.140625" style="3" hidden="1" customWidth="1"/>
    <col min="19" max="19" width="5.28515625" style="34" customWidth="1"/>
    <col min="20" max="20" width="4.42578125" style="34" customWidth="1"/>
    <col min="21" max="31" width="6.85546875" style="34" customWidth="1"/>
    <col min="32" max="16384" width="9.140625" style="34"/>
  </cols>
  <sheetData>
    <row r="1" spans="1:31" ht="24" x14ac:dyDescent="0.2">
      <c r="A1" s="114" t="s">
        <v>0</v>
      </c>
      <c r="B1" s="114" t="s">
        <v>1</v>
      </c>
      <c r="C1" s="114" t="s">
        <v>2</v>
      </c>
      <c r="D1" s="114" t="s">
        <v>3</v>
      </c>
      <c r="E1" s="114" t="s">
        <v>108</v>
      </c>
      <c r="F1" s="114" t="s">
        <v>4</v>
      </c>
      <c r="G1" s="114" t="s">
        <v>5</v>
      </c>
      <c r="H1" s="114" t="s">
        <v>6</v>
      </c>
      <c r="I1" s="114" t="s">
        <v>7</v>
      </c>
      <c r="J1" s="114" t="s">
        <v>173</v>
      </c>
      <c r="K1" s="3" t="s">
        <v>195</v>
      </c>
      <c r="L1" s="3" t="s">
        <v>606</v>
      </c>
      <c r="M1" s="110" t="s">
        <v>199</v>
      </c>
      <c r="N1" s="110"/>
      <c r="O1" s="110" t="s">
        <v>200</v>
      </c>
      <c r="P1" s="111" t="s">
        <v>201</v>
      </c>
      <c r="Q1" s="110" t="s">
        <v>202</v>
      </c>
      <c r="R1" s="582" t="s">
        <v>1550</v>
      </c>
      <c r="T1" s="34" t="s">
        <v>363</v>
      </c>
    </row>
    <row r="2" spans="1:31" s="38" customFormat="1" ht="15.95" customHeight="1" x14ac:dyDescent="0.2">
      <c r="A2" s="115" t="s">
        <v>8</v>
      </c>
      <c r="B2" s="116" t="s">
        <v>9</v>
      </c>
      <c r="C2" s="116">
        <v>6</v>
      </c>
      <c r="D2" s="116" t="s">
        <v>10</v>
      </c>
      <c r="E2" s="116">
        <v>60</v>
      </c>
      <c r="F2" s="116">
        <v>14</v>
      </c>
      <c r="G2" s="116">
        <v>14</v>
      </c>
      <c r="H2" s="116">
        <v>4</v>
      </c>
      <c r="I2" s="116">
        <v>7</v>
      </c>
      <c r="J2" s="107" t="s">
        <v>283</v>
      </c>
      <c r="K2" s="46">
        <v>5</v>
      </c>
      <c r="L2" s="252" t="s">
        <v>607</v>
      </c>
      <c r="M2" s="112" t="s">
        <v>203</v>
      </c>
      <c r="N2" s="112"/>
      <c r="O2" s="112"/>
      <c r="P2" s="113" t="str">
        <f>IF(ISERROR(Combat!$L$1*1),"Un",ROUND(MIN(Combat!$L$1,MAX(M3:M6))/2,0))</f>
        <v>Un</v>
      </c>
      <c r="Q2" s="112" t="str">
        <f>CONCATENATE(N3,", ",N4,", ",N5,", ",N6)</f>
        <v>Dagger, Main-Gauche, Short sword, Sai</v>
      </c>
      <c r="R2" s="46">
        <f ca="1">MAX(M3:M6)</f>
        <v>-1</v>
      </c>
      <c r="U2" s="38">
        <v>75</v>
      </c>
      <c r="V2" s="38">
        <v>75</v>
      </c>
      <c r="W2" s="38">
        <v>150</v>
      </c>
      <c r="X2" s="38">
        <v>200</v>
      </c>
      <c r="Y2" s="38">
        <v>500</v>
      </c>
      <c r="Z2" s="38">
        <v>1000</v>
      </c>
      <c r="AA2" s="38">
        <v>2000</v>
      </c>
      <c r="AB2" s="38">
        <v>4000</v>
      </c>
      <c r="AC2" s="38">
        <v>0</v>
      </c>
      <c r="AD2" s="38">
        <v>0</v>
      </c>
      <c r="AE2" s="38">
        <v>0</v>
      </c>
    </row>
    <row r="3" spans="1:31" s="38" customFormat="1" ht="15.95" customHeight="1" x14ac:dyDescent="0.2">
      <c r="A3" s="115" t="s">
        <v>11</v>
      </c>
      <c r="B3" s="116"/>
      <c r="C3" s="116">
        <v>7</v>
      </c>
      <c r="D3" s="116" t="s">
        <v>12</v>
      </c>
      <c r="E3" s="116">
        <v>30</v>
      </c>
      <c r="F3" s="116">
        <v>7</v>
      </c>
      <c r="G3" s="116">
        <v>16</v>
      </c>
      <c r="H3" s="116"/>
      <c r="I3" s="116">
        <v>10</v>
      </c>
      <c r="J3" s="107" t="s">
        <v>283</v>
      </c>
      <c r="K3" s="46">
        <v>1</v>
      </c>
      <c r="L3" s="253" t="s">
        <v>608</v>
      </c>
      <c r="M3" s="113">
        <f ca="1">IFERROR(OFFSET($A$1,MATCH($N3,$A$1:$A$199,0)-1,9)*1,-1)</f>
        <v>-1</v>
      </c>
      <c r="N3" s="112" t="s">
        <v>26</v>
      </c>
      <c r="O3" s="112"/>
      <c r="P3" s="113" t="str">
        <f>P2</f>
        <v>Un</v>
      </c>
      <c r="Q3" s="112"/>
      <c r="R3" s="46"/>
      <c r="U3" s="38">
        <v>25</v>
      </c>
      <c r="V3" s="38">
        <v>25</v>
      </c>
      <c r="W3" s="38">
        <v>50</v>
      </c>
      <c r="X3" s="38">
        <v>100</v>
      </c>
      <c r="Y3" s="38">
        <v>200</v>
      </c>
      <c r="Z3" s="38">
        <v>400</v>
      </c>
      <c r="AA3" s="38">
        <v>700</v>
      </c>
      <c r="AB3" s="38">
        <v>1500</v>
      </c>
      <c r="AC3" s="38">
        <v>3000</v>
      </c>
      <c r="AD3" s="38">
        <v>4000</v>
      </c>
      <c r="AE3" s="38">
        <v>5000</v>
      </c>
    </row>
    <row r="4" spans="1:31" s="38" customFormat="1" ht="15.95" customHeight="1" x14ac:dyDescent="0.2">
      <c r="A4" s="115" t="s">
        <v>13</v>
      </c>
      <c r="B4" s="116"/>
      <c r="C4" s="116">
        <v>10</v>
      </c>
      <c r="D4" s="116" t="s">
        <v>14</v>
      </c>
      <c r="E4" s="116">
        <v>35</v>
      </c>
      <c r="F4" s="116">
        <v>11</v>
      </c>
      <c r="G4" s="116">
        <v>15</v>
      </c>
      <c r="H4" s="116">
        <v>-3</v>
      </c>
      <c r="I4" s="116">
        <v>6</v>
      </c>
      <c r="J4" s="107" t="s">
        <v>283</v>
      </c>
      <c r="K4" s="46">
        <v>2</v>
      </c>
      <c r="L4" s="253"/>
      <c r="M4" s="113">
        <f t="shared" ref="M4:M6" ca="1" si="0">IFERROR(OFFSET($A$1,MATCH($N4,$A$1:$A$199,0)-1,9)*1,-1)</f>
        <v>-1</v>
      </c>
      <c r="N4" s="112" t="s">
        <v>50</v>
      </c>
      <c r="O4" s="112"/>
      <c r="P4" s="113" t="str">
        <f t="shared" ref="P4:P54" si="1">P3</f>
        <v>Un</v>
      </c>
      <c r="Q4" s="112"/>
      <c r="R4" s="46"/>
      <c r="U4" s="38">
        <v>200</v>
      </c>
      <c r="V4" s="38">
        <v>200</v>
      </c>
      <c r="W4" s="38">
        <v>400</v>
      </c>
      <c r="X4" s="38">
        <v>700</v>
      </c>
      <c r="Y4" s="38">
        <v>1500</v>
      </c>
      <c r="Z4" s="38">
        <v>2000</v>
      </c>
      <c r="AA4" s="38">
        <v>5000</v>
      </c>
      <c r="AB4" s="38">
        <v>0</v>
      </c>
      <c r="AC4" s="38">
        <v>0</v>
      </c>
      <c r="AD4" s="38">
        <v>0</v>
      </c>
      <c r="AE4" s="38">
        <v>0</v>
      </c>
    </row>
    <row r="5" spans="1:31" s="38" customFormat="1" ht="15.95" customHeight="1" x14ac:dyDescent="0.2">
      <c r="A5" s="115" t="s">
        <v>15</v>
      </c>
      <c r="B5" s="116" t="s">
        <v>16</v>
      </c>
      <c r="C5" s="116">
        <v>20</v>
      </c>
      <c r="D5" s="116" t="s">
        <v>12</v>
      </c>
      <c r="E5" s="116">
        <v>40</v>
      </c>
      <c r="F5" s="116">
        <v>11</v>
      </c>
      <c r="G5" s="116">
        <v>15</v>
      </c>
      <c r="H5" s="116">
        <v>0</v>
      </c>
      <c r="I5" s="116">
        <v>7</v>
      </c>
      <c r="J5" s="107" t="s">
        <v>283</v>
      </c>
      <c r="K5" s="46">
        <v>1</v>
      </c>
      <c r="L5" s="253"/>
      <c r="M5" s="113">
        <f t="shared" ca="1" si="0"/>
        <v>-1</v>
      </c>
      <c r="N5" s="112" t="s">
        <v>204</v>
      </c>
      <c r="O5" s="112"/>
      <c r="P5" s="113" t="str">
        <f t="shared" si="1"/>
        <v>Un</v>
      </c>
      <c r="Q5" s="112"/>
      <c r="R5" s="46"/>
      <c r="U5" s="38">
        <v>100</v>
      </c>
      <c r="V5" s="38">
        <v>300</v>
      </c>
      <c r="W5" s="38">
        <v>500</v>
      </c>
      <c r="X5" s="38">
        <v>1000</v>
      </c>
      <c r="Y5" s="38">
        <v>1200</v>
      </c>
      <c r="Z5" s="38">
        <v>1500</v>
      </c>
      <c r="AA5" s="38">
        <v>1500</v>
      </c>
      <c r="AB5" s="38">
        <v>1500</v>
      </c>
      <c r="AC5" s="38">
        <v>0</v>
      </c>
      <c r="AD5" s="38">
        <v>0</v>
      </c>
      <c r="AE5" s="38">
        <v>0</v>
      </c>
    </row>
    <row r="6" spans="1:31" s="38" customFormat="1" ht="15.95" customHeight="1" x14ac:dyDescent="0.2">
      <c r="A6" s="115" t="s">
        <v>17</v>
      </c>
      <c r="B6" s="116" t="s">
        <v>9</v>
      </c>
      <c r="C6" s="116"/>
      <c r="D6" s="116" t="s">
        <v>18</v>
      </c>
      <c r="E6" s="116">
        <v>55</v>
      </c>
      <c r="F6" s="116">
        <v>15</v>
      </c>
      <c r="G6" s="116">
        <v>15</v>
      </c>
      <c r="H6" s="116">
        <v>4</v>
      </c>
      <c r="I6" s="116">
        <v>6</v>
      </c>
      <c r="J6" s="107" t="s">
        <v>283</v>
      </c>
      <c r="K6" s="46">
        <v>3</v>
      </c>
      <c r="L6" s="253"/>
      <c r="M6" s="113">
        <f t="shared" ca="1" si="0"/>
        <v>-1</v>
      </c>
      <c r="N6" s="112" t="s">
        <v>95</v>
      </c>
      <c r="O6" s="112"/>
      <c r="P6" s="113" t="str">
        <f t="shared" si="1"/>
        <v>Un</v>
      </c>
      <c r="Q6" s="112"/>
      <c r="R6" s="46"/>
      <c r="U6" s="38">
        <v>50</v>
      </c>
      <c r="V6" s="38">
        <v>50</v>
      </c>
      <c r="W6" s="38">
        <v>100</v>
      </c>
      <c r="X6" s="38">
        <v>200</v>
      </c>
      <c r="Y6" s="38">
        <v>400</v>
      </c>
      <c r="Z6" s="38">
        <v>700</v>
      </c>
      <c r="AA6" s="38">
        <v>1500</v>
      </c>
      <c r="AB6" s="38">
        <v>0</v>
      </c>
      <c r="AC6" s="38">
        <v>0</v>
      </c>
      <c r="AD6" s="38">
        <v>0</v>
      </c>
      <c r="AE6" s="38">
        <v>0</v>
      </c>
    </row>
    <row r="7" spans="1:31" s="38" customFormat="1" ht="15.95" customHeight="1" x14ac:dyDescent="0.2">
      <c r="A7" s="115" t="s">
        <v>19</v>
      </c>
      <c r="B7" s="116" t="s">
        <v>16</v>
      </c>
      <c r="C7" s="116"/>
      <c r="D7" s="116" t="s">
        <v>20</v>
      </c>
      <c r="E7" s="116">
        <v>35</v>
      </c>
      <c r="F7" s="116">
        <v>12</v>
      </c>
      <c r="G7" s="116">
        <v>14</v>
      </c>
      <c r="H7" s="116">
        <v>-1</v>
      </c>
      <c r="I7" s="116">
        <v>9</v>
      </c>
      <c r="J7" s="107" t="s">
        <v>283</v>
      </c>
      <c r="K7" s="46">
        <v>3</v>
      </c>
      <c r="L7" s="253"/>
      <c r="M7" s="112" t="s">
        <v>205</v>
      </c>
      <c r="N7" s="112"/>
      <c r="O7" s="112"/>
      <c r="P7" s="113" t="str">
        <f>IF(ISERROR(Combat!$L$1*1),"Un",ROUND(MIN(Combat!$L$1,MAX(M8:M11))/2,0))</f>
        <v>Un</v>
      </c>
      <c r="Q7" s="112" t="str">
        <f>CONCATENATE(N8,", ",N9,", ",N10,", ",N11)</f>
        <v>Tulwar, Falchion, Scimitar, Sabre</v>
      </c>
      <c r="R7" s="46">
        <f ca="1">MAX(M8:M11)</f>
        <v>-1</v>
      </c>
      <c r="U7" s="38">
        <v>30</v>
      </c>
      <c r="V7" s="38">
        <v>40</v>
      </c>
      <c r="W7" s="38">
        <v>50</v>
      </c>
      <c r="X7" s="38">
        <v>100</v>
      </c>
      <c r="Y7" s="38">
        <v>200</v>
      </c>
      <c r="Z7" s="38">
        <v>400</v>
      </c>
      <c r="AA7" s="38">
        <v>700</v>
      </c>
      <c r="AB7" s="38">
        <v>1500</v>
      </c>
      <c r="AC7" s="38">
        <v>3000</v>
      </c>
      <c r="AD7" s="38">
        <v>6000</v>
      </c>
      <c r="AE7" s="38">
        <v>0</v>
      </c>
    </row>
    <row r="8" spans="1:31" s="38" customFormat="1" ht="15.95" customHeight="1" x14ac:dyDescent="0.2">
      <c r="A8" s="115" t="s">
        <v>21</v>
      </c>
      <c r="B8" s="116" t="s">
        <v>9</v>
      </c>
      <c r="C8" s="116"/>
      <c r="D8" s="116" t="s">
        <v>18</v>
      </c>
      <c r="E8" s="116">
        <v>50</v>
      </c>
      <c r="F8" s="116">
        <v>16</v>
      </c>
      <c r="G8" s="116">
        <v>13</v>
      </c>
      <c r="H8" s="116">
        <v>4</v>
      </c>
      <c r="I8" s="116">
        <v>7</v>
      </c>
      <c r="J8" s="107" t="s">
        <v>283</v>
      </c>
      <c r="K8" s="46">
        <v>5</v>
      </c>
      <c r="L8" s="252" t="s">
        <v>607</v>
      </c>
      <c r="M8" s="113">
        <f t="shared" ref="M8:M11" ca="1" si="2">IFERROR(OFFSET($A$1,MATCH($N8,$A$1:$A$199,0)-1,9)*1,-1)</f>
        <v>-1</v>
      </c>
      <c r="N8" s="112" t="s">
        <v>72</v>
      </c>
      <c r="O8" s="112"/>
      <c r="P8" s="113" t="str">
        <f t="shared" si="1"/>
        <v>Un</v>
      </c>
      <c r="Q8" s="112"/>
      <c r="R8" s="46"/>
      <c r="U8" s="38">
        <v>50</v>
      </c>
      <c r="V8" s="38">
        <v>50</v>
      </c>
      <c r="W8" s="38">
        <v>100</v>
      </c>
      <c r="X8" s="38">
        <v>200</v>
      </c>
      <c r="Y8" s="38">
        <v>400</v>
      </c>
      <c r="Z8" s="38">
        <v>700</v>
      </c>
      <c r="AA8" s="38">
        <v>1500</v>
      </c>
      <c r="AB8" s="38">
        <v>1800</v>
      </c>
      <c r="AC8" s="38">
        <v>0</v>
      </c>
      <c r="AD8" s="38">
        <v>0</v>
      </c>
      <c r="AE8" s="38">
        <v>0</v>
      </c>
    </row>
    <row r="9" spans="1:31" s="38" customFormat="1" ht="15.95" customHeight="1" x14ac:dyDescent="0.2">
      <c r="A9" s="115" t="s">
        <v>22</v>
      </c>
      <c r="B9" s="116" t="s">
        <v>23</v>
      </c>
      <c r="C9" s="116">
        <v>225</v>
      </c>
      <c r="D9" s="116" t="s">
        <v>12</v>
      </c>
      <c r="E9" s="116">
        <v>55</v>
      </c>
      <c r="F9" s="116">
        <v>17</v>
      </c>
      <c r="G9" s="116">
        <v>15</v>
      </c>
      <c r="H9" s="116">
        <v>4</v>
      </c>
      <c r="I9" s="116">
        <v>8</v>
      </c>
      <c r="J9" s="107" t="s">
        <v>283</v>
      </c>
      <c r="K9" s="46">
        <v>8</v>
      </c>
      <c r="L9" s="253" t="s">
        <v>608</v>
      </c>
      <c r="M9" s="113">
        <f t="shared" ca="1" si="2"/>
        <v>-1</v>
      </c>
      <c r="N9" s="112" t="s">
        <v>29</v>
      </c>
      <c r="O9" s="112"/>
      <c r="P9" s="113" t="str">
        <f t="shared" si="1"/>
        <v>Un</v>
      </c>
      <c r="Q9" s="112"/>
      <c r="R9" s="46"/>
      <c r="U9" s="38">
        <v>200</v>
      </c>
      <c r="V9" s="38">
        <v>200</v>
      </c>
      <c r="W9" s="38">
        <v>400</v>
      </c>
      <c r="X9" s="38">
        <v>700</v>
      </c>
      <c r="Y9" s="38">
        <v>1500</v>
      </c>
      <c r="Z9" s="38">
        <v>3000</v>
      </c>
      <c r="AA9" s="38">
        <v>3000</v>
      </c>
      <c r="AB9" s="38">
        <v>3000</v>
      </c>
      <c r="AC9" s="38">
        <v>3000</v>
      </c>
      <c r="AD9" s="38">
        <v>0</v>
      </c>
      <c r="AE9" s="38">
        <v>0</v>
      </c>
    </row>
    <row r="10" spans="1:31" s="38" customFormat="1" ht="15.95" customHeight="1" x14ac:dyDescent="0.2">
      <c r="A10" s="115" t="s">
        <v>24</v>
      </c>
      <c r="B10" s="116" t="s">
        <v>23</v>
      </c>
      <c r="C10" s="116">
        <v>80</v>
      </c>
      <c r="D10" s="116" t="s">
        <v>12</v>
      </c>
      <c r="E10" s="116">
        <v>60</v>
      </c>
      <c r="F10" s="116">
        <v>14</v>
      </c>
      <c r="G10" s="116">
        <v>14</v>
      </c>
      <c r="H10" s="116">
        <v>3</v>
      </c>
      <c r="I10" s="116">
        <v>5</v>
      </c>
      <c r="J10" s="107" t="s">
        <v>283</v>
      </c>
      <c r="K10" s="46">
        <v>7</v>
      </c>
      <c r="L10" s="253" t="s">
        <v>608</v>
      </c>
      <c r="M10" s="113">
        <f t="shared" ca="1" si="2"/>
        <v>-1</v>
      </c>
      <c r="N10" s="112" t="s">
        <v>61</v>
      </c>
      <c r="O10" s="112"/>
      <c r="P10" s="113" t="str">
        <f t="shared" si="1"/>
        <v>Un</v>
      </c>
      <c r="Q10" s="112"/>
      <c r="R10" s="46"/>
      <c r="U10" s="38">
        <v>100</v>
      </c>
      <c r="V10" s="38">
        <v>100</v>
      </c>
      <c r="W10" s="38">
        <v>200</v>
      </c>
      <c r="X10" s="38">
        <v>400</v>
      </c>
      <c r="Y10" s="38">
        <v>800</v>
      </c>
      <c r="Z10" s="38">
        <v>1000</v>
      </c>
      <c r="AA10" s="38">
        <v>0</v>
      </c>
      <c r="AB10" s="38">
        <v>0</v>
      </c>
      <c r="AC10" s="38">
        <v>0</v>
      </c>
      <c r="AD10" s="38">
        <v>0</v>
      </c>
      <c r="AE10" s="38">
        <v>0</v>
      </c>
    </row>
    <row r="11" spans="1:31" s="38" customFormat="1" ht="15.95" customHeight="1" x14ac:dyDescent="0.2">
      <c r="A11" s="115" t="s">
        <v>25</v>
      </c>
      <c r="B11" s="116" t="s">
        <v>16</v>
      </c>
      <c r="C11" s="116">
        <v>6</v>
      </c>
      <c r="D11" s="116" t="s">
        <v>10</v>
      </c>
      <c r="E11" s="116">
        <v>45</v>
      </c>
      <c r="F11" s="116">
        <v>16</v>
      </c>
      <c r="G11" s="116">
        <v>10</v>
      </c>
      <c r="H11" s="116">
        <v>2</v>
      </c>
      <c r="I11" s="116">
        <v>2</v>
      </c>
      <c r="J11" s="107" t="s">
        <v>283</v>
      </c>
      <c r="K11" s="46">
        <v>4</v>
      </c>
      <c r="L11" s="253"/>
      <c r="M11" s="113">
        <f t="shared" ca="1" si="2"/>
        <v>-1</v>
      </c>
      <c r="N11" s="112" t="s">
        <v>59</v>
      </c>
      <c r="O11" s="112"/>
      <c r="P11" s="113" t="str">
        <f t="shared" si="1"/>
        <v>Un</v>
      </c>
      <c r="Q11" s="112"/>
      <c r="R11" s="46"/>
      <c r="U11" s="38">
        <v>25</v>
      </c>
      <c r="V11" s="38">
        <v>25</v>
      </c>
      <c r="W11" s="38">
        <v>50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</row>
    <row r="12" spans="1:31" s="38" customFormat="1" ht="15.95" customHeight="1" x14ac:dyDescent="0.2">
      <c r="A12" s="115" t="s">
        <v>26</v>
      </c>
      <c r="B12" s="116" t="s">
        <v>23</v>
      </c>
      <c r="C12" s="116">
        <v>8</v>
      </c>
      <c r="D12" s="116" t="s">
        <v>27</v>
      </c>
      <c r="E12" s="116">
        <v>40</v>
      </c>
      <c r="F12" s="116">
        <v>7</v>
      </c>
      <c r="G12" s="116">
        <v>10</v>
      </c>
      <c r="H12" s="116">
        <v>0</v>
      </c>
      <c r="I12" s="116">
        <v>9</v>
      </c>
      <c r="J12" s="107" t="s">
        <v>283</v>
      </c>
      <c r="K12" s="46">
        <f>5/8</f>
        <v>0.625</v>
      </c>
      <c r="L12" s="253"/>
      <c r="M12" s="112" t="s">
        <v>206</v>
      </c>
      <c r="N12" s="112"/>
      <c r="O12" s="112"/>
      <c r="P12" s="113" t="str">
        <f>IF(ISERROR(Combat!$L$1*1),"Un",ROUND(MIN(Combat!$L$1,MAX(M13:M16))/2,0))</f>
        <v>Un</v>
      </c>
      <c r="Q12" s="112" t="str">
        <f>CONCATENATE(N13,", ",N14,", ",N15,", ",N16)</f>
        <v>Hand &amp; a Half, Two-Handed Sword, Claymore, Broadsword</v>
      </c>
      <c r="R12" s="46">
        <f ca="1">MAX(M13:M16)</f>
        <v>-1</v>
      </c>
      <c r="U12" s="38">
        <v>25</v>
      </c>
      <c r="V12" s="38">
        <v>25</v>
      </c>
      <c r="W12" s="38">
        <v>50</v>
      </c>
      <c r="X12" s="38">
        <v>100</v>
      </c>
      <c r="Y12" s="38">
        <v>200</v>
      </c>
      <c r="Z12" s="38">
        <v>400</v>
      </c>
      <c r="AA12" s="38">
        <v>700</v>
      </c>
      <c r="AB12" s="38">
        <v>1500</v>
      </c>
      <c r="AC12" s="38">
        <v>3000</v>
      </c>
      <c r="AD12" s="38">
        <v>4000</v>
      </c>
      <c r="AE12" s="38">
        <v>0</v>
      </c>
    </row>
    <row r="13" spans="1:31" s="38" customFormat="1" ht="15.95" customHeight="1" x14ac:dyDescent="0.2">
      <c r="A13" s="115" t="s">
        <v>28</v>
      </c>
      <c r="B13" s="116" t="s">
        <v>23</v>
      </c>
      <c r="C13" s="116"/>
      <c r="D13" s="116" t="s">
        <v>18</v>
      </c>
      <c r="E13" s="116">
        <v>45</v>
      </c>
      <c r="F13" s="116">
        <v>15</v>
      </c>
      <c r="G13" s="116">
        <v>17</v>
      </c>
      <c r="H13" s="116">
        <v>5</v>
      </c>
      <c r="I13" s="116">
        <v>9</v>
      </c>
      <c r="J13" s="107" t="s">
        <v>283</v>
      </c>
      <c r="K13" s="46">
        <v>2</v>
      </c>
      <c r="L13" s="253"/>
      <c r="M13" s="113">
        <f t="shared" ref="M13:M16" ca="1" si="3">IFERROR(OFFSET($A$1,MATCH($N13,$A$1:$A$199,0)-1,9)*1,-1)</f>
        <v>-1</v>
      </c>
      <c r="N13" s="112" t="s">
        <v>42</v>
      </c>
      <c r="O13" s="112"/>
      <c r="P13" s="113" t="str">
        <f t="shared" si="1"/>
        <v>Un</v>
      </c>
      <c r="Q13" s="112"/>
      <c r="R13" s="46"/>
      <c r="U13" s="38">
        <v>75</v>
      </c>
      <c r="V13" s="38">
        <v>75</v>
      </c>
      <c r="W13" s="38">
        <v>150</v>
      </c>
      <c r="X13" s="38">
        <v>200</v>
      </c>
      <c r="Y13" s="38">
        <v>500</v>
      </c>
      <c r="Z13" s="38">
        <v>1000</v>
      </c>
      <c r="AA13" s="38">
        <v>2000</v>
      </c>
      <c r="AB13" s="38">
        <v>4000</v>
      </c>
      <c r="AC13" s="38">
        <v>4000</v>
      </c>
      <c r="AD13" s="38">
        <v>3000</v>
      </c>
      <c r="AE13" s="38">
        <v>0</v>
      </c>
    </row>
    <row r="14" spans="1:31" s="38" customFormat="1" ht="15.95" customHeight="1" x14ac:dyDescent="0.2">
      <c r="A14" s="115" t="s">
        <v>29</v>
      </c>
      <c r="B14" s="116" t="s">
        <v>9</v>
      </c>
      <c r="C14" s="116"/>
      <c r="D14" s="116" t="s">
        <v>18</v>
      </c>
      <c r="E14" s="116">
        <v>50</v>
      </c>
      <c r="F14" s="116">
        <v>12</v>
      </c>
      <c r="G14" s="116">
        <v>11</v>
      </c>
      <c r="H14" s="116">
        <v>2</v>
      </c>
      <c r="I14" s="116">
        <v>8</v>
      </c>
      <c r="J14" s="107" t="s">
        <v>283</v>
      </c>
      <c r="K14" s="46">
        <v>4</v>
      </c>
      <c r="L14" s="253"/>
      <c r="M14" s="113">
        <f t="shared" ca="1" si="3"/>
        <v>-1</v>
      </c>
      <c r="N14" s="112" t="s">
        <v>73</v>
      </c>
      <c r="O14" s="112"/>
      <c r="P14" s="113" t="str">
        <f t="shared" si="1"/>
        <v>Un</v>
      </c>
      <c r="Q14" s="112"/>
      <c r="R14" s="46"/>
      <c r="U14" s="38">
        <v>25</v>
      </c>
      <c r="V14" s="38">
        <v>25</v>
      </c>
      <c r="W14" s="38">
        <v>50</v>
      </c>
      <c r="X14" s="38">
        <v>100</v>
      </c>
      <c r="Y14" s="38">
        <v>200</v>
      </c>
      <c r="Z14" s="38">
        <v>400</v>
      </c>
      <c r="AA14" s="38">
        <v>700</v>
      </c>
      <c r="AB14" s="38">
        <v>1500</v>
      </c>
      <c r="AC14" s="38">
        <v>3000</v>
      </c>
      <c r="AD14" s="38">
        <v>0</v>
      </c>
      <c r="AE14" s="38">
        <v>0</v>
      </c>
    </row>
    <row r="15" spans="1:31" s="38" customFormat="1" ht="15.95" customHeight="1" x14ac:dyDescent="0.2">
      <c r="A15" s="115" t="s">
        <v>30</v>
      </c>
      <c r="B15" s="116" t="s">
        <v>16</v>
      </c>
      <c r="C15" s="116"/>
      <c r="D15" s="116" t="s">
        <v>18</v>
      </c>
      <c r="E15" s="116">
        <v>50</v>
      </c>
      <c r="F15" s="116">
        <v>14</v>
      </c>
      <c r="G15" s="116">
        <v>15</v>
      </c>
      <c r="H15" s="116">
        <v>2</v>
      </c>
      <c r="I15" s="116">
        <v>5</v>
      </c>
      <c r="J15" s="107" t="s">
        <v>283</v>
      </c>
      <c r="K15" s="46">
        <v>4</v>
      </c>
      <c r="L15" s="253"/>
      <c r="M15" s="113">
        <f t="shared" ca="1" si="3"/>
        <v>-1</v>
      </c>
      <c r="N15" s="112" t="s">
        <v>21</v>
      </c>
      <c r="O15" s="112"/>
      <c r="P15" s="113" t="str">
        <f t="shared" si="1"/>
        <v>Un</v>
      </c>
      <c r="Q15" s="112"/>
      <c r="R15" s="46"/>
      <c r="U15" s="38">
        <v>25</v>
      </c>
      <c r="V15" s="38">
        <v>25</v>
      </c>
      <c r="W15" s="38">
        <v>50</v>
      </c>
      <c r="X15" s="38">
        <v>100</v>
      </c>
      <c r="Y15" s="38">
        <v>200</v>
      </c>
      <c r="Z15" s="38">
        <v>400</v>
      </c>
      <c r="AA15" s="38">
        <v>0</v>
      </c>
      <c r="AB15" s="38">
        <v>0</v>
      </c>
      <c r="AC15" s="38">
        <v>0</v>
      </c>
      <c r="AD15" s="38">
        <v>0</v>
      </c>
      <c r="AE15" s="38">
        <v>0</v>
      </c>
    </row>
    <row r="16" spans="1:31" s="38" customFormat="1" ht="15.95" customHeight="1" x14ac:dyDescent="0.2">
      <c r="A16" s="115" t="s">
        <v>31</v>
      </c>
      <c r="B16" s="116"/>
      <c r="C16" s="116"/>
      <c r="D16" s="116" t="s">
        <v>16</v>
      </c>
      <c r="E16" s="116">
        <v>30</v>
      </c>
      <c r="F16" s="116">
        <v>12</v>
      </c>
      <c r="G16" s="116">
        <v>15</v>
      </c>
      <c r="H16" s="116">
        <v>3</v>
      </c>
      <c r="I16" s="116">
        <v>3</v>
      </c>
      <c r="J16" s="107" t="s">
        <v>283</v>
      </c>
      <c r="K16" s="46">
        <v>1</v>
      </c>
      <c r="L16" s="253" t="s">
        <v>608</v>
      </c>
      <c r="M16" s="113">
        <f t="shared" ca="1" si="3"/>
        <v>-1</v>
      </c>
      <c r="N16" s="112" t="s">
        <v>17</v>
      </c>
      <c r="O16" s="112"/>
      <c r="P16" s="113" t="str">
        <f t="shared" si="1"/>
        <v>Un</v>
      </c>
      <c r="Q16" s="112"/>
      <c r="R16" s="46"/>
      <c r="U16" s="38">
        <v>100</v>
      </c>
      <c r="V16" s="38">
        <v>200</v>
      </c>
      <c r="W16" s="38">
        <v>300</v>
      </c>
      <c r="X16" s="38">
        <v>600</v>
      </c>
      <c r="Y16" s="38">
        <v>0</v>
      </c>
      <c r="Z16" s="38">
        <v>0</v>
      </c>
      <c r="AA16" s="38">
        <v>0</v>
      </c>
      <c r="AB16" s="38">
        <v>0</v>
      </c>
      <c r="AC16" s="38">
        <v>0</v>
      </c>
      <c r="AD16" s="38">
        <v>0</v>
      </c>
      <c r="AE16" s="38">
        <v>0</v>
      </c>
    </row>
    <row r="17" spans="1:31" s="38" customFormat="1" ht="15.95" customHeight="1" x14ac:dyDescent="0.2">
      <c r="A17" s="115" t="s">
        <v>32</v>
      </c>
      <c r="B17" s="116" t="s">
        <v>9</v>
      </c>
      <c r="C17" s="116">
        <v>6</v>
      </c>
      <c r="D17" s="116" t="s">
        <v>10</v>
      </c>
      <c r="E17" s="116">
        <v>65</v>
      </c>
      <c r="F17" s="116">
        <v>29</v>
      </c>
      <c r="G17" s="116">
        <v>12</v>
      </c>
      <c r="H17" s="116">
        <v>10</v>
      </c>
      <c r="I17" s="116">
        <v>7</v>
      </c>
      <c r="J17" s="107" t="s">
        <v>283</v>
      </c>
      <c r="K17" s="46">
        <v>25</v>
      </c>
      <c r="L17" s="253"/>
      <c r="M17" s="112" t="s">
        <v>207</v>
      </c>
      <c r="N17" s="112"/>
      <c r="O17" s="112"/>
      <c r="P17" s="113" t="str">
        <f>IF(ISERROR(Combat!$L$1*1),"Un",ROUND(MIN(Combat!$L$1,MAX(M18:M19))/2,0))</f>
        <v>Un</v>
      </c>
      <c r="Q17" s="112" t="str">
        <f>CONCATENATE(N18,", ",N19)</f>
        <v>Rapier, Estoc</v>
      </c>
      <c r="R17" s="46">
        <f ca="1">MAX(M18:M19)</f>
        <v>-1</v>
      </c>
      <c r="U17" s="38">
        <v>75</v>
      </c>
      <c r="V17" s="38">
        <v>75</v>
      </c>
      <c r="W17" s="38">
        <v>150</v>
      </c>
      <c r="X17" s="38">
        <v>200</v>
      </c>
      <c r="Y17" s="38">
        <v>500</v>
      </c>
      <c r="Z17" s="38">
        <v>1000</v>
      </c>
      <c r="AA17" s="38">
        <v>2000</v>
      </c>
      <c r="AB17" s="38">
        <v>4000</v>
      </c>
      <c r="AC17" s="38">
        <v>0</v>
      </c>
      <c r="AD17" s="38">
        <v>0</v>
      </c>
      <c r="AE17" s="38">
        <v>0</v>
      </c>
    </row>
    <row r="18" spans="1:31" s="38" customFormat="1" ht="15.95" customHeight="1" x14ac:dyDescent="0.2">
      <c r="A18" s="115" t="s">
        <v>33</v>
      </c>
      <c r="B18" s="116" t="s">
        <v>23</v>
      </c>
      <c r="C18" s="116">
        <v>45</v>
      </c>
      <c r="D18" s="116" t="s">
        <v>12</v>
      </c>
      <c r="E18" s="116">
        <v>55</v>
      </c>
      <c r="F18" s="116">
        <v>25</v>
      </c>
      <c r="G18" s="116">
        <v>17</v>
      </c>
      <c r="H18" s="116">
        <v>7</v>
      </c>
      <c r="I18" s="116">
        <v>8</v>
      </c>
      <c r="J18" s="107" t="s">
        <v>283</v>
      </c>
      <c r="K18" s="46">
        <v>14</v>
      </c>
      <c r="L18" s="253" t="s">
        <v>608</v>
      </c>
      <c r="M18" s="113">
        <f t="shared" ref="M18:M19" ca="1" si="4">IFERROR(OFFSET($A$1,MATCH($N18,$A$1:$A$199,0)-1,9)*1,-1)</f>
        <v>-1</v>
      </c>
      <c r="N18" s="112" t="s">
        <v>57</v>
      </c>
      <c r="O18" s="112"/>
      <c r="P18" s="113" t="str">
        <f t="shared" si="1"/>
        <v>Un</v>
      </c>
      <c r="Q18" s="112"/>
      <c r="R18" s="46"/>
      <c r="U18" s="38">
        <v>300</v>
      </c>
      <c r="V18" s="38">
        <v>200</v>
      </c>
      <c r="W18" s="38">
        <v>500</v>
      </c>
      <c r="X18" s="38">
        <v>1000</v>
      </c>
      <c r="Y18" s="38">
        <v>2000</v>
      </c>
      <c r="Z18" s="38">
        <v>2000</v>
      </c>
      <c r="AA18" s="38">
        <v>2000</v>
      </c>
      <c r="AB18" s="38">
        <v>2000</v>
      </c>
      <c r="AC18" s="38">
        <v>3000</v>
      </c>
      <c r="AD18" s="38">
        <v>0</v>
      </c>
      <c r="AE18" s="38">
        <v>0</v>
      </c>
    </row>
    <row r="19" spans="1:31" s="38" customFormat="1" ht="15.95" customHeight="1" x14ac:dyDescent="0.2">
      <c r="A19" s="115" t="s">
        <v>34</v>
      </c>
      <c r="B19" s="116" t="s">
        <v>16</v>
      </c>
      <c r="C19" s="116">
        <v>9</v>
      </c>
      <c r="D19" s="116" t="s">
        <v>10</v>
      </c>
      <c r="E19" s="116">
        <v>50</v>
      </c>
      <c r="F19" s="116">
        <v>25</v>
      </c>
      <c r="G19" s="116">
        <v>9</v>
      </c>
      <c r="H19" s="116">
        <v>8</v>
      </c>
      <c r="I19" s="116">
        <v>5</v>
      </c>
      <c r="J19" s="107" t="s">
        <v>283</v>
      </c>
      <c r="K19" s="46">
        <v>10</v>
      </c>
      <c r="L19" s="253"/>
      <c r="M19" s="113">
        <f t="shared" ca="1" si="4"/>
        <v>-1</v>
      </c>
      <c r="N19" s="112" t="s">
        <v>28</v>
      </c>
      <c r="O19" s="112"/>
      <c r="P19" s="113" t="str">
        <f t="shared" si="1"/>
        <v>Un</v>
      </c>
      <c r="Q19" s="112"/>
      <c r="R19" s="46"/>
      <c r="U19" s="38">
        <v>25</v>
      </c>
      <c r="V19" s="38">
        <v>75</v>
      </c>
      <c r="W19" s="38">
        <v>150</v>
      </c>
      <c r="X19" s="38">
        <v>300</v>
      </c>
      <c r="Y19" s="38">
        <v>500</v>
      </c>
      <c r="Z19" s="38">
        <v>700</v>
      </c>
      <c r="AA19" s="38">
        <v>0</v>
      </c>
      <c r="AB19" s="38">
        <v>0</v>
      </c>
      <c r="AC19" s="38">
        <v>0</v>
      </c>
      <c r="AD19" s="38">
        <v>0</v>
      </c>
      <c r="AE19" s="38">
        <v>0</v>
      </c>
    </row>
    <row r="20" spans="1:31" s="38" customFormat="1" ht="15.95" customHeight="1" x14ac:dyDescent="0.2">
      <c r="A20" s="115" t="s">
        <v>35</v>
      </c>
      <c r="B20" s="116" t="s">
        <v>9</v>
      </c>
      <c r="C20" s="116"/>
      <c r="D20" s="116" t="s">
        <v>18</v>
      </c>
      <c r="E20" s="116">
        <v>65</v>
      </c>
      <c r="F20" s="116">
        <v>22</v>
      </c>
      <c r="G20" s="116">
        <v>18</v>
      </c>
      <c r="H20" s="116">
        <v>9</v>
      </c>
      <c r="I20" s="116">
        <v>9</v>
      </c>
      <c r="J20" s="107" t="s">
        <v>283</v>
      </c>
      <c r="K20" s="46">
        <v>14</v>
      </c>
      <c r="L20" s="253" t="s">
        <v>608</v>
      </c>
      <c r="M20" s="112" t="s">
        <v>208</v>
      </c>
      <c r="N20" s="112"/>
      <c r="O20" s="112"/>
      <c r="P20" s="113" t="str">
        <f>IF(ISERROR(Combat!$L$1*1),"Un",ROUND(MIN(Combat!$L$1,MAX(M21:M23))/2,0))</f>
        <v>Un</v>
      </c>
      <c r="Q20" s="112" t="str">
        <f>CONCATENATE(N21,", ",N22,", ",N23)</f>
        <v>Katana, No-Daichi, Ninjato</v>
      </c>
      <c r="R20" s="46">
        <f ca="1">MAX(M21:M23)</f>
        <v>-1</v>
      </c>
      <c r="U20" s="38">
        <v>50</v>
      </c>
      <c r="V20" s="38">
        <v>50</v>
      </c>
      <c r="W20" s="38">
        <v>100</v>
      </c>
      <c r="X20" s="38">
        <v>200</v>
      </c>
      <c r="Y20" s="38">
        <v>200</v>
      </c>
      <c r="Z20" s="38">
        <v>200</v>
      </c>
      <c r="AA20" s="38">
        <v>500</v>
      </c>
      <c r="AB20" s="38">
        <v>800</v>
      </c>
      <c r="AC20" s="38">
        <v>1500</v>
      </c>
      <c r="AD20" s="38">
        <v>3000</v>
      </c>
      <c r="AE20" s="38">
        <v>0</v>
      </c>
    </row>
    <row r="21" spans="1:31" s="38" customFormat="1" ht="15.95" customHeight="1" x14ac:dyDescent="0.2">
      <c r="A21" s="115" t="s">
        <v>36</v>
      </c>
      <c r="B21" s="116" t="s">
        <v>16</v>
      </c>
      <c r="C21" s="116">
        <v>8</v>
      </c>
      <c r="D21" s="116" t="s">
        <v>10</v>
      </c>
      <c r="E21" s="116">
        <v>50</v>
      </c>
      <c r="F21" s="116">
        <v>27</v>
      </c>
      <c r="G21" s="116">
        <v>10</v>
      </c>
      <c r="H21" s="116">
        <v>7</v>
      </c>
      <c r="I21" s="116">
        <v>5</v>
      </c>
      <c r="J21" s="107" t="s">
        <v>283</v>
      </c>
      <c r="K21" s="46">
        <v>25</v>
      </c>
      <c r="L21" s="253"/>
      <c r="M21" s="113">
        <f t="shared" ref="M21:M23" ca="1" si="5">IFERROR(OFFSET($A$1,MATCH($N21,$A$1:$A$199,0)-1,9)*1,-1)</f>
        <v>-1</v>
      </c>
      <c r="N21" s="112" t="s">
        <v>87</v>
      </c>
      <c r="O21" s="112"/>
      <c r="P21" s="113" t="str">
        <f t="shared" si="1"/>
        <v>Un</v>
      </c>
      <c r="Q21" s="112"/>
      <c r="R21" s="46"/>
      <c r="U21" s="38">
        <v>50</v>
      </c>
      <c r="V21" s="38">
        <v>50</v>
      </c>
      <c r="W21" s="38">
        <v>100</v>
      </c>
      <c r="X21" s="38">
        <v>200</v>
      </c>
      <c r="Y21" s="38">
        <v>400</v>
      </c>
      <c r="Z21" s="38">
        <v>700</v>
      </c>
      <c r="AA21" s="38">
        <v>0</v>
      </c>
      <c r="AB21" s="38">
        <v>0</v>
      </c>
      <c r="AC21" s="38">
        <v>0</v>
      </c>
      <c r="AD21" s="38">
        <v>0</v>
      </c>
      <c r="AE21" s="38">
        <v>0</v>
      </c>
    </row>
    <row r="22" spans="1:31" s="38" customFormat="1" ht="15.95" customHeight="1" x14ac:dyDescent="0.2">
      <c r="A22" s="115" t="s">
        <v>37</v>
      </c>
      <c r="B22" s="116" t="s">
        <v>23</v>
      </c>
      <c r="C22" s="116">
        <v>12</v>
      </c>
      <c r="D22" s="116" t="s">
        <v>10</v>
      </c>
      <c r="E22" s="116">
        <v>55</v>
      </c>
      <c r="F22" s="116">
        <v>22</v>
      </c>
      <c r="G22" s="116">
        <v>16</v>
      </c>
      <c r="H22" s="116">
        <v>7</v>
      </c>
      <c r="I22" s="116">
        <v>5</v>
      </c>
      <c r="J22" s="107" t="s">
        <v>283</v>
      </c>
      <c r="K22" s="46">
        <v>15</v>
      </c>
      <c r="L22" s="252" t="s">
        <v>607</v>
      </c>
      <c r="M22" s="113">
        <f t="shared" ca="1" si="5"/>
        <v>-1</v>
      </c>
      <c r="N22" s="112" t="s">
        <v>93</v>
      </c>
      <c r="O22" s="112"/>
      <c r="P22" s="113" t="str">
        <f>P20</f>
        <v>Un</v>
      </c>
      <c r="Q22" s="112"/>
      <c r="R22" s="46"/>
      <c r="U22" s="38">
        <v>100</v>
      </c>
      <c r="V22" s="38">
        <v>100</v>
      </c>
      <c r="W22" s="38">
        <v>200</v>
      </c>
      <c r="X22" s="38">
        <v>400</v>
      </c>
      <c r="Y22" s="38">
        <v>700</v>
      </c>
      <c r="Z22" s="38">
        <v>1800</v>
      </c>
      <c r="AA22" s="38">
        <v>0</v>
      </c>
      <c r="AB22" s="38">
        <v>0</v>
      </c>
      <c r="AC22" s="38">
        <v>0</v>
      </c>
      <c r="AD22" s="38">
        <v>0</v>
      </c>
      <c r="AE22" s="38">
        <v>0</v>
      </c>
    </row>
    <row r="23" spans="1:31" s="38" customFormat="1" ht="15.95" customHeight="1" x14ac:dyDescent="0.2">
      <c r="A23" s="115" t="s">
        <v>38</v>
      </c>
      <c r="B23" s="116" t="s">
        <v>9</v>
      </c>
      <c r="C23" s="116"/>
      <c r="D23" s="116" t="s">
        <v>18</v>
      </c>
      <c r="E23" s="116">
        <v>55</v>
      </c>
      <c r="F23" s="116">
        <v>16</v>
      </c>
      <c r="G23" s="116">
        <v>18</v>
      </c>
      <c r="H23" s="116">
        <v>5</v>
      </c>
      <c r="I23" s="116">
        <v>9</v>
      </c>
      <c r="J23" s="107" t="s">
        <v>283</v>
      </c>
      <c r="K23" s="46">
        <v>7</v>
      </c>
      <c r="L23" s="253" t="s">
        <v>608</v>
      </c>
      <c r="M23" s="113">
        <f t="shared" ca="1" si="5"/>
        <v>-1</v>
      </c>
      <c r="N23" s="112" t="s">
        <v>92</v>
      </c>
      <c r="O23" s="112"/>
      <c r="P23" s="113" t="str">
        <f>P20</f>
        <v>Un</v>
      </c>
      <c r="Q23" s="112"/>
      <c r="R23" s="46"/>
      <c r="U23" s="38">
        <v>50</v>
      </c>
      <c r="V23" s="38">
        <v>50</v>
      </c>
      <c r="W23" s="38">
        <v>100</v>
      </c>
      <c r="X23" s="38">
        <v>200</v>
      </c>
      <c r="Y23" s="38">
        <v>200</v>
      </c>
      <c r="Z23" s="38">
        <v>200</v>
      </c>
      <c r="AA23" s="38">
        <v>500</v>
      </c>
      <c r="AB23" s="38">
        <v>800</v>
      </c>
      <c r="AC23" s="38">
        <v>1500</v>
      </c>
      <c r="AD23" s="38">
        <v>3000</v>
      </c>
      <c r="AE23" s="38">
        <v>0</v>
      </c>
    </row>
    <row r="24" spans="1:31" s="38" customFormat="1" ht="15.95" customHeight="1" x14ac:dyDescent="0.2">
      <c r="A24" s="115" t="s">
        <v>39</v>
      </c>
      <c r="B24" s="116" t="s">
        <v>9</v>
      </c>
      <c r="C24" s="116"/>
      <c r="D24" s="116" t="s">
        <v>18</v>
      </c>
      <c r="E24" s="116">
        <v>65</v>
      </c>
      <c r="F24" s="116">
        <v>19</v>
      </c>
      <c r="G24" s="116">
        <v>17</v>
      </c>
      <c r="H24" s="116">
        <v>6</v>
      </c>
      <c r="I24" s="116">
        <v>7</v>
      </c>
      <c r="J24" s="107" t="s">
        <v>283</v>
      </c>
      <c r="K24" s="46">
        <v>6</v>
      </c>
      <c r="L24" s="253" t="s">
        <v>608</v>
      </c>
      <c r="M24" s="112" t="s">
        <v>209</v>
      </c>
      <c r="N24" s="112"/>
      <c r="O24" s="112"/>
      <c r="P24" s="113" t="str">
        <f>IF(ISERROR(Combat!$L$1*1),"Un",ROUND(MIN(Combat!$L$1,MAX(M25:M27))/2,0))</f>
        <v>Un</v>
      </c>
      <c r="Q24" s="112" t="str">
        <f>CONCATENATE(N25,", ",N26,", ",N27)</f>
        <v>Hand Axe, Battle Axe, Great Axe</v>
      </c>
      <c r="R24" s="46">
        <f ca="1">MAX(M25:M27)</f>
        <v>-1</v>
      </c>
      <c r="U24" s="38">
        <v>150</v>
      </c>
      <c r="V24" s="38">
        <v>50</v>
      </c>
      <c r="W24" s="38">
        <v>100</v>
      </c>
      <c r="X24" s="38">
        <v>200</v>
      </c>
      <c r="Y24" s="38">
        <v>500</v>
      </c>
      <c r="Z24" s="38">
        <v>1000</v>
      </c>
      <c r="AA24" s="38">
        <v>3000</v>
      </c>
      <c r="AB24" s="38">
        <v>5000</v>
      </c>
      <c r="AC24" s="38">
        <v>0</v>
      </c>
      <c r="AD24" s="38">
        <v>0</v>
      </c>
      <c r="AE24" s="38">
        <v>0</v>
      </c>
    </row>
    <row r="25" spans="1:31" s="38" customFormat="1" ht="15.95" customHeight="1" x14ac:dyDescent="0.2">
      <c r="A25" s="115" t="s">
        <v>40</v>
      </c>
      <c r="B25" s="116"/>
      <c r="C25" s="116">
        <v>15</v>
      </c>
      <c r="D25" s="116" t="s">
        <v>12</v>
      </c>
      <c r="E25" s="116">
        <v>40</v>
      </c>
      <c r="F25" s="116">
        <v>9</v>
      </c>
      <c r="G25" s="116">
        <v>15</v>
      </c>
      <c r="H25" s="116"/>
      <c r="I25" s="116">
        <v>4</v>
      </c>
      <c r="J25" s="107" t="s">
        <v>283</v>
      </c>
      <c r="K25" s="46"/>
      <c r="L25" s="253"/>
      <c r="M25" s="113">
        <f t="shared" ref="M25:M27" ca="1" si="6">IFERROR(OFFSET($A$1,MATCH($N25,$A$1:$A$199,0)-1,9)*1,-1)</f>
        <v>-1</v>
      </c>
      <c r="N25" s="112" t="s">
        <v>43</v>
      </c>
      <c r="O25" s="112"/>
      <c r="P25" s="113" t="str">
        <f t="shared" si="1"/>
        <v>Un</v>
      </c>
      <c r="Q25" s="112"/>
      <c r="R25" s="46"/>
      <c r="U25" s="38">
        <v>25</v>
      </c>
      <c r="V25" s="38">
        <v>50</v>
      </c>
      <c r="W25" s="38">
        <v>75</v>
      </c>
      <c r="X25" s="38">
        <v>100</v>
      </c>
      <c r="Y25" s="38">
        <v>150</v>
      </c>
      <c r="Z25" s="38">
        <v>0</v>
      </c>
      <c r="AA25" s="38">
        <v>0</v>
      </c>
      <c r="AB25" s="38">
        <v>0</v>
      </c>
      <c r="AC25" s="38">
        <v>0</v>
      </c>
      <c r="AD25" s="38">
        <v>0</v>
      </c>
      <c r="AE25" s="38">
        <v>0</v>
      </c>
    </row>
    <row r="26" spans="1:31" s="38" customFormat="1" ht="15.95" customHeight="1" x14ac:dyDescent="0.2">
      <c r="A26" s="115" t="s">
        <v>41</v>
      </c>
      <c r="B26" s="116" t="s">
        <v>9</v>
      </c>
      <c r="C26" s="116"/>
      <c r="D26" s="116" t="s">
        <v>18</v>
      </c>
      <c r="E26" s="116">
        <v>55</v>
      </c>
      <c r="F26" s="116">
        <v>16</v>
      </c>
      <c r="G26" s="116">
        <v>16</v>
      </c>
      <c r="H26" s="116">
        <v>3</v>
      </c>
      <c r="I26" s="116">
        <v>5</v>
      </c>
      <c r="J26" s="107" t="s">
        <v>283</v>
      </c>
      <c r="K26" s="46">
        <v>6</v>
      </c>
      <c r="L26" s="253" t="s">
        <v>608</v>
      </c>
      <c r="M26" s="113">
        <f t="shared" ca="1" si="6"/>
        <v>-1</v>
      </c>
      <c r="N26" s="112" t="s">
        <v>8</v>
      </c>
      <c r="O26" s="112"/>
      <c r="P26" s="113" t="str">
        <f t="shared" si="1"/>
        <v>Un</v>
      </c>
      <c r="Q26" s="112"/>
      <c r="R26" s="46"/>
      <c r="U26" s="38">
        <v>100</v>
      </c>
      <c r="V26" s="38">
        <v>100</v>
      </c>
      <c r="W26" s="38">
        <v>200</v>
      </c>
      <c r="X26" s="38">
        <v>400</v>
      </c>
      <c r="Y26" s="38">
        <v>700</v>
      </c>
      <c r="Z26" s="38">
        <v>1500</v>
      </c>
      <c r="AA26" s="38">
        <v>0</v>
      </c>
      <c r="AB26" s="38">
        <v>0</v>
      </c>
      <c r="AC26" s="38">
        <v>0</v>
      </c>
      <c r="AD26" s="38">
        <v>0</v>
      </c>
      <c r="AE26" s="38">
        <v>0</v>
      </c>
    </row>
    <row r="27" spans="1:31" s="38" customFormat="1" ht="15.95" customHeight="1" x14ac:dyDescent="0.2">
      <c r="A27" s="115" t="s">
        <v>42</v>
      </c>
      <c r="B27" s="116" t="s">
        <v>9</v>
      </c>
      <c r="C27" s="116"/>
      <c r="D27" s="116" t="s">
        <v>18</v>
      </c>
      <c r="E27" s="116">
        <v>60</v>
      </c>
      <c r="F27" s="116">
        <v>17</v>
      </c>
      <c r="G27" s="116">
        <v>16</v>
      </c>
      <c r="H27" s="116">
        <v>5</v>
      </c>
      <c r="I27" s="116">
        <v>7</v>
      </c>
      <c r="J27" s="107" t="s">
        <v>283</v>
      </c>
      <c r="K27" s="46">
        <v>6</v>
      </c>
      <c r="L27" s="252" t="s">
        <v>607</v>
      </c>
      <c r="M27" s="113">
        <f t="shared" ca="1" si="6"/>
        <v>-1</v>
      </c>
      <c r="N27" s="112" t="s">
        <v>39</v>
      </c>
      <c r="O27" s="112"/>
      <c r="P27" s="113" t="str">
        <f t="shared" si="1"/>
        <v>Un</v>
      </c>
      <c r="Q27" s="112"/>
      <c r="R27" s="46"/>
      <c r="U27" s="38">
        <v>100</v>
      </c>
      <c r="V27" s="38">
        <v>100</v>
      </c>
      <c r="W27" s="38">
        <v>200</v>
      </c>
      <c r="X27" s="38">
        <v>400</v>
      </c>
      <c r="Y27" s="38">
        <v>500</v>
      </c>
      <c r="Z27" s="38">
        <v>900</v>
      </c>
      <c r="AA27" s="38">
        <v>1700</v>
      </c>
      <c r="AB27" s="38">
        <v>2000</v>
      </c>
      <c r="AC27" s="38">
        <v>0</v>
      </c>
      <c r="AD27" s="38">
        <v>0</v>
      </c>
      <c r="AE27" s="38">
        <v>0</v>
      </c>
    </row>
    <row r="28" spans="1:31" s="38" customFormat="1" ht="15.95" customHeight="1" x14ac:dyDescent="0.2">
      <c r="A28" s="115" t="s">
        <v>43</v>
      </c>
      <c r="B28" s="116" t="s">
        <v>9</v>
      </c>
      <c r="C28" s="116">
        <v>8</v>
      </c>
      <c r="D28" s="116" t="s">
        <v>27</v>
      </c>
      <c r="E28" s="116">
        <v>40</v>
      </c>
      <c r="F28" s="116">
        <v>8</v>
      </c>
      <c r="G28" s="116">
        <v>11</v>
      </c>
      <c r="H28" s="116">
        <v>1</v>
      </c>
      <c r="I28" s="116">
        <v>4</v>
      </c>
      <c r="J28" s="107" t="s">
        <v>283</v>
      </c>
      <c r="K28" s="46">
        <v>2</v>
      </c>
      <c r="L28" s="253"/>
      <c r="M28" s="112" t="s">
        <v>210</v>
      </c>
      <c r="N28" s="112"/>
      <c r="O28" s="112"/>
      <c r="P28" s="113" t="str">
        <f>IF(ISERROR(Combat!$L$1*1),"Un",ROUND(MIN(Combat!$L$1,MAX(M29:M33))/2,0))</f>
        <v>Un</v>
      </c>
      <c r="Q28" s="112" t="str">
        <f>CONCATENATE(N29,", ",N30,", ",N31,", ",N32,", ",N33)</f>
        <v>War Club, Mace, War Hammer, War Pick, Mattock</v>
      </c>
      <c r="R28" s="46">
        <f ca="1">MAX(M29:M33)</f>
        <v>-1</v>
      </c>
      <c r="U28" s="38">
        <v>100</v>
      </c>
      <c r="V28" s="38">
        <v>100</v>
      </c>
      <c r="W28" s="38">
        <v>200</v>
      </c>
      <c r="X28" s="38">
        <v>500</v>
      </c>
      <c r="Y28" s="38">
        <v>1500</v>
      </c>
      <c r="Z28" s="38">
        <v>0</v>
      </c>
      <c r="AA28" s="38">
        <v>0</v>
      </c>
      <c r="AB28" s="38">
        <v>0</v>
      </c>
      <c r="AC28" s="38">
        <v>0</v>
      </c>
      <c r="AD28" s="38">
        <v>0</v>
      </c>
      <c r="AE28" s="38">
        <v>0</v>
      </c>
    </row>
    <row r="29" spans="1:31" s="38" customFormat="1" ht="15.95" customHeight="1" x14ac:dyDescent="0.2">
      <c r="A29" s="115" t="s">
        <v>44</v>
      </c>
      <c r="B29" s="116" t="s">
        <v>23</v>
      </c>
      <c r="C29" s="116">
        <v>90</v>
      </c>
      <c r="D29" s="116" t="s">
        <v>12</v>
      </c>
      <c r="E29" s="116">
        <v>60</v>
      </c>
      <c r="F29" s="116">
        <v>20</v>
      </c>
      <c r="G29" s="116">
        <v>14</v>
      </c>
      <c r="H29" s="116">
        <v>5</v>
      </c>
      <c r="I29" s="116">
        <v>5</v>
      </c>
      <c r="J29" s="107" t="s">
        <v>283</v>
      </c>
      <c r="K29" s="46">
        <v>10</v>
      </c>
      <c r="L29" s="253" t="s">
        <v>608</v>
      </c>
      <c r="M29" s="113">
        <f t="shared" ref="M29:M33" ca="1" si="7">IFERROR(OFFSET($A$1,MATCH($N29,$A$1:$A$199,0)-1,9)*1,-1)</f>
        <v>-1</v>
      </c>
      <c r="N29" s="112" t="s">
        <v>75</v>
      </c>
      <c r="O29" s="112"/>
      <c r="P29" s="113" t="str">
        <f t="shared" si="1"/>
        <v>Un</v>
      </c>
      <c r="Q29" s="112"/>
      <c r="R29" s="46"/>
      <c r="U29" s="38">
        <v>100</v>
      </c>
      <c r="V29" s="38">
        <v>100</v>
      </c>
      <c r="W29" s="38">
        <v>200</v>
      </c>
      <c r="X29" s="38">
        <v>400</v>
      </c>
      <c r="Y29" s="38">
        <v>800</v>
      </c>
      <c r="Z29" s="38">
        <v>1000</v>
      </c>
      <c r="AA29" s="38">
        <v>0</v>
      </c>
      <c r="AB29" s="38">
        <v>0</v>
      </c>
      <c r="AC29" s="38">
        <v>0</v>
      </c>
      <c r="AD29" s="38">
        <v>0</v>
      </c>
      <c r="AE29" s="38">
        <v>0</v>
      </c>
    </row>
    <row r="30" spans="1:31" s="38" customFormat="1" ht="15.95" customHeight="1" x14ac:dyDescent="0.2">
      <c r="A30" s="115" t="s">
        <v>45</v>
      </c>
      <c r="B30" s="116" t="s">
        <v>23</v>
      </c>
      <c r="C30" s="116">
        <v>12</v>
      </c>
      <c r="D30" s="116" t="s">
        <v>10</v>
      </c>
      <c r="E30" s="116">
        <v>45</v>
      </c>
      <c r="F30" s="116">
        <v>12</v>
      </c>
      <c r="G30" s="116">
        <v>15</v>
      </c>
      <c r="H30" s="116">
        <v>2</v>
      </c>
      <c r="I30" s="116">
        <v>10</v>
      </c>
      <c r="J30" s="107" t="s">
        <v>283</v>
      </c>
      <c r="K30" s="46">
        <v>3</v>
      </c>
      <c r="L30" s="253"/>
      <c r="M30" s="113">
        <f t="shared" ca="1" si="7"/>
        <v>-1</v>
      </c>
      <c r="N30" s="112" t="s">
        <v>49</v>
      </c>
      <c r="O30" s="112"/>
      <c r="P30" s="113" t="str">
        <f t="shared" si="1"/>
        <v>Un</v>
      </c>
      <c r="Q30" s="112"/>
      <c r="R30" s="46"/>
      <c r="U30" s="38">
        <v>50</v>
      </c>
      <c r="V30" s="38">
        <v>50</v>
      </c>
      <c r="W30" s="38">
        <v>100</v>
      </c>
      <c r="X30" s="38">
        <v>200</v>
      </c>
      <c r="Y30" s="38">
        <v>400</v>
      </c>
      <c r="Z30" s="38">
        <v>800</v>
      </c>
      <c r="AA30" s="38">
        <v>1400</v>
      </c>
      <c r="AB30" s="38">
        <v>2000</v>
      </c>
      <c r="AC30" s="38">
        <v>2000</v>
      </c>
      <c r="AD30" s="38">
        <v>2000</v>
      </c>
      <c r="AE30" s="38">
        <v>3000</v>
      </c>
    </row>
    <row r="31" spans="1:31" s="38" customFormat="1" ht="15.95" customHeight="1" x14ac:dyDescent="0.2">
      <c r="A31" s="115" t="s">
        <v>46</v>
      </c>
      <c r="B31" s="116" t="s">
        <v>23</v>
      </c>
      <c r="C31" s="116"/>
      <c r="D31" s="116" t="s">
        <v>18</v>
      </c>
      <c r="E31" s="116">
        <v>45</v>
      </c>
      <c r="F31" s="116">
        <v>16</v>
      </c>
      <c r="G31" s="116">
        <v>18</v>
      </c>
      <c r="H31" s="116">
        <v>6</v>
      </c>
      <c r="I31" s="116">
        <v>5</v>
      </c>
      <c r="J31" s="107" t="s">
        <v>283</v>
      </c>
      <c r="K31" s="46">
        <v>7</v>
      </c>
      <c r="L31" s="253"/>
      <c r="M31" s="113">
        <f t="shared" ca="1" si="7"/>
        <v>-1</v>
      </c>
      <c r="N31" s="112" t="s">
        <v>76</v>
      </c>
      <c r="O31" s="112"/>
      <c r="P31" s="113" t="str">
        <f t="shared" si="1"/>
        <v>Un</v>
      </c>
      <c r="Q31" s="112"/>
      <c r="R31" s="46"/>
      <c r="U31" s="38">
        <v>250</v>
      </c>
      <c r="V31" s="38">
        <v>400</v>
      </c>
      <c r="W31" s="38">
        <v>700</v>
      </c>
      <c r="X31" s="38">
        <v>1000</v>
      </c>
      <c r="Y31" s="38">
        <v>1700</v>
      </c>
      <c r="Z31" s="38">
        <v>3500</v>
      </c>
      <c r="AA31" s="38">
        <v>0</v>
      </c>
      <c r="AB31" s="38">
        <v>0</v>
      </c>
      <c r="AC31" s="38">
        <v>0</v>
      </c>
      <c r="AD31" s="38">
        <v>0</v>
      </c>
      <c r="AE31" s="38">
        <v>0</v>
      </c>
    </row>
    <row r="32" spans="1:31" s="38" customFormat="1" ht="15.95" customHeight="1" x14ac:dyDescent="0.2">
      <c r="A32" s="115" t="s">
        <v>47</v>
      </c>
      <c r="B32" s="116"/>
      <c r="C32" s="116">
        <v>6</v>
      </c>
      <c r="D32" s="116" t="s">
        <v>10</v>
      </c>
      <c r="E32" s="116">
        <v>30</v>
      </c>
      <c r="F32" s="116">
        <v>12</v>
      </c>
      <c r="G32" s="116">
        <v>18</v>
      </c>
      <c r="H32" s="116">
        <v>-4</v>
      </c>
      <c r="I32" s="116">
        <v>6</v>
      </c>
      <c r="J32" s="107" t="s">
        <v>283</v>
      </c>
      <c r="K32" s="46">
        <v>4</v>
      </c>
      <c r="L32" s="253" t="s">
        <v>608</v>
      </c>
      <c r="M32" s="113">
        <f t="shared" ca="1" si="7"/>
        <v>-1</v>
      </c>
      <c r="N32" s="112" t="s">
        <v>77</v>
      </c>
      <c r="O32" s="112"/>
      <c r="P32" s="113" t="str">
        <f t="shared" si="1"/>
        <v>Un</v>
      </c>
      <c r="Q32" s="112"/>
      <c r="R32" s="46"/>
      <c r="U32" s="38">
        <v>200</v>
      </c>
      <c r="V32" s="38">
        <v>200</v>
      </c>
      <c r="W32" s="38">
        <v>400</v>
      </c>
      <c r="X32" s="38">
        <v>700</v>
      </c>
      <c r="Y32" s="38">
        <v>1500</v>
      </c>
      <c r="Z32" s="38">
        <v>2000</v>
      </c>
      <c r="AA32" s="38">
        <v>5000</v>
      </c>
      <c r="AB32" s="38">
        <v>0</v>
      </c>
      <c r="AC32" s="38">
        <v>0</v>
      </c>
      <c r="AD32" s="38">
        <v>0</v>
      </c>
      <c r="AE32" s="38">
        <v>0</v>
      </c>
    </row>
    <row r="33" spans="1:31" s="38" customFormat="1" ht="15.95" customHeight="1" x14ac:dyDescent="0.2">
      <c r="A33" s="115" t="s">
        <v>48</v>
      </c>
      <c r="B33" s="116" t="s">
        <v>23</v>
      </c>
      <c r="C33" s="116">
        <v>180</v>
      </c>
      <c r="D33" s="116" t="s">
        <v>12</v>
      </c>
      <c r="E33" s="116">
        <v>55</v>
      </c>
      <c r="F33" s="116">
        <v>16</v>
      </c>
      <c r="G33" s="116">
        <v>15</v>
      </c>
      <c r="H33" s="116">
        <v>4</v>
      </c>
      <c r="I33" s="116">
        <v>8</v>
      </c>
      <c r="J33" s="107" t="s">
        <v>283</v>
      </c>
      <c r="K33" s="46">
        <v>6</v>
      </c>
      <c r="L33" s="253" t="s">
        <v>608</v>
      </c>
      <c r="M33" s="113">
        <f t="shared" ca="1" si="7"/>
        <v>-1</v>
      </c>
      <c r="N33" s="112" t="s">
        <v>51</v>
      </c>
      <c r="O33" s="112"/>
      <c r="P33" s="113" t="str">
        <f t="shared" si="1"/>
        <v>Un</v>
      </c>
      <c r="Q33" s="112"/>
      <c r="R33" s="46"/>
      <c r="U33" s="38">
        <v>300</v>
      </c>
      <c r="V33" s="38">
        <v>200</v>
      </c>
      <c r="W33" s="38">
        <v>500</v>
      </c>
      <c r="X33" s="38">
        <v>1000</v>
      </c>
      <c r="Y33" s="38">
        <v>2000</v>
      </c>
      <c r="Z33" s="38">
        <v>2000</v>
      </c>
      <c r="AA33" s="38">
        <v>2000</v>
      </c>
      <c r="AB33" s="38">
        <v>2000</v>
      </c>
      <c r="AC33" s="38">
        <v>3000</v>
      </c>
      <c r="AD33" s="38">
        <v>0</v>
      </c>
      <c r="AE33" s="38">
        <v>0</v>
      </c>
    </row>
    <row r="34" spans="1:31" s="38" customFormat="1" ht="15.95" customHeight="1" x14ac:dyDescent="0.2">
      <c r="A34" s="115" t="s">
        <v>49</v>
      </c>
      <c r="B34" s="116" t="s">
        <v>16</v>
      </c>
      <c r="C34" s="116">
        <v>5</v>
      </c>
      <c r="D34" s="116" t="s">
        <v>10</v>
      </c>
      <c r="E34" s="116">
        <v>50</v>
      </c>
      <c r="F34" s="116">
        <v>16</v>
      </c>
      <c r="G34" s="116">
        <v>9</v>
      </c>
      <c r="H34" s="116">
        <v>4</v>
      </c>
      <c r="I34" s="116">
        <v>5</v>
      </c>
      <c r="J34" s="107" t="s">
        <v>283</v>
      </c>
      <c r="K34" s="46">
        <v>5</v>
      </c>
      <c r="L34" s="253"/>
      <c r="M34" s="112" t="s">
        <v>211</v>
      </c>
      <c r="N34" s="112"/>
      <c r="O34" s="112"/>
      <c r="P34" s="113" t="str">
        <f>IF(ISERROR(Combat!$L$1*1),"Un",ROUND(MIN(Combat!$L$1,MAX(M35:M40))/2,0))</f>
        <v>Un</v>
      </c>
      <c r="Q34" s="112" t="str">
        <f>CONCATENATE(N35,", ",N36,", ",N37,", ",N38,", ",N39,", ",N40)</f>
        <v>Flail, Morning Star, Bola, Net, Manriki-Kusari, Nunchaku</v>
      </c>
      <c r="R34" s="46">
        <f ca="1">MAX(M35:M40)</f>
        <v>-1</v>
      </c>
      <c r="U34" s="38">
        <v>50</v>
      </c>
      <c r="V34" s="38">
        <v>50</v>
      </c>
      <c r="W34" s="38">
        <v>100</v>
      </c>
      <c r="X34" s="38">
        <v>200</v>
      </c>
      <c r="Y34" s="38">
        <v>400</v>
      </c>
      <c r="Z34" s="38">
        <v>700</v>
      </c>
      <c r="AA34" s="38">
        <v>0</v>
      </c>
      <c r="AB34" s="38">
        <v>0</v>
      </c>
      <c r="AC34" s="38">
        <v>0</v>
      </c>
      <c r="AD34" s="38">
        <v>0</v>
      </c>
      <c r="AE34" s="38">
        <v>0</v>
      </c>
    </row>
    <row r="35" spans="1:31" s="38" customFormat="1" ht="15.95" customHeight="1" x14ac:dyDescent="0.2">
      <c r="A35" s="115" t="s">
        <v>50</v>
      </c>
      <c r="B35" s="116" t="s">
        <v>23</v>
      </c>
      <c r="C35" s="116"/>
      <c r="D35" s="116" t="s">
        <v>20</v>
      </c>
      <c r="E35" s="116">
        <v>45</v>
      </c>
      <c r="F35" s="116">
        <v>8</v>
      </c>
      <c r="G35" s="116">
        <v>15</v>
      </c>
      <c r="H35" s="116">
        <v>1</v>
      </c>
      <c r="I35" s="116">
        <v>10</v>
      </c>
      <c r="J35" s="107" t="s">
        <v>283</v>
      </c>
      <c r="K35" s="46">
        <v>1</v>
      </c>
      <c r="L35" s="253"/>
      <c r="M35" s="113">
        <f t="shared" ref="M35:M40" ca="1" si="8">IFERROR(OFFSET($A$1,MATCH($N35,$A$1:$A$199,0)-1,9)*1,-1)</f>
        <v>-1</v>
      </c>
      <c r="N35" s="112" t="s">
        <v>30</v>
      </c>
      <c r="O35" s="112"/>
      <c r="P35" s="113" t="str">
        <f t="shared" si="1"/>
        <v>Un</v>
      </c>
      <c r="Q35" s="112"/>
      <c r="R35" s="46"/>
      <c r="U35" s="38">
        <v>50</v>
      </c>
      <c r="V35" s="38">
        <v>50</v>
      </c>
      <c r="W35" s="38">
        <v>100</v>
      </c>
      <c r="X35" s="38">
        <v>200</v>
      </c>
      <c r="Y35" s="38">
        <v>400</v>
      </c>
      <c r="Z35" s="38">
        <v>1100</v>
      </c>
      <c r="AA35" s="38">
        <v>1500</v>
      </c>
      <c r="AB35" s="38">
        <v>3000</v>
      </c>
      <c r="AC35" s="38">
        <v>3000</v>
      </c>
      <c r="AD35" s="38">
        <v>3000</v>
      </c>
      <c r="AE35" s="38">
        <v>4000</v>
      </c>
    </row>
    <row r="36" spans="1:31" s="38" customFormat="1" ht="15.95" customHeight="1" x14ac:dyDescent="0.2">
      <c r="A36" s="115" t="s">
        <v>51</v>
      </c>
      <c r="B36" s="116" t="s">
        <v>16</v>
      </c>
      <c r="C36" s="116"/>
      <c r="D36" s="116" t="s">
        <v>18</v>
      </c>
      <c r="E36" s="116">
        <v>55</v>
      </c>
      <c r="F36" s="116">
        <v>19</v>
      </c>
      <c r="G36" s="116">
        <v>14</v>
      </c>
      <c r="H36" s="116">
        <v>6</v>
      </c>
      <c r="I36" s="116">
        <v>5</v>
      </c>
      <c r="J36" s="107" t="s">
        <v>283</v>
      </c>
      <c r="K36" s="46">
        <v>6</v>
      </c>
      <c r="L36" s="253" t="s">
        <v>608</v>
      </c>
      <c r="M36" s="113">
        <f t="shared" ca="1" si="8"/>
        <v>-1</v>
      </c>
      <c r="N36" s="112" t="s">
        <v>52</v>
      </c>
      <c r="O36" s="112"/>
      <c r="P36" s="113" t="str">
        <f t="shared" si="1"/>
        <v>Un</v>
      </c>
      <c r="Q36" s="112"/>
      <c r="R36" s="46"/>
      <c r="U36" s="38">
        <v>50</v>
      </c>
      <c r="V36" s="38">
        <v>50</v>
      </c>
      <c r="W36" s="38">
        <v>100</v>
      </c>
      <c r="X36" s="38">
        <v>200</v>
      </c>
      <c r="Y36" s="38">
        <v>400</v>
      </c>
      <c r="Z36" s="38">
        <v>700</v>
      </c>
      <c r="AA36" s="38">
        <v>0</v>
      </c>
      <c r="AB36" s="38">
        <v>0</v>
      </c>
      <c r="AC36" s="38">
        <v>0</v>
      </c>
      <c r="AD36" s="38">
        <v>0</v>
      </c>
      <c r="AE36" s="38">
        <v>0</v>
      </c>
    </row>
    <row r="37" spans="1:31" s="38" customFormat="1" ht="15.95" customHeight="1" x14ac:dyDescent="0.2">
      <c r="A37" s="115" t="s">
        <v>52</v>
      </c>
      <c r="B37" s="116" t="s">
        <v>16</v>
      </c>
      <c r="C37" s="116"/>
      <c r="D37" s="116" t="s">
        <v>18</v>
      </c>
      <c r="E37" s="116">
        <v>60</v>
      </c>
      <c r="F37" s="116">
        <v>18</v>
      </c>
      <c r="G37" s="116">
        <v>15</v>
      </c>
      <c r="H37" s="116">
        <v>4</v>
      </c>
      <c r="I37" s="116">
        <v>5</v>
      </c>
      <c r="J37" s="107" t="s">
        <v>283</v>
      </c>
      <c r="K37" s="46">
        <v>5</v>
      </c>
      <c r="L37" s="252" t="s">
        <v>607</v>
      </c>
      <c r="M37" s="113">
        <f t="shared" ca="1" si="8"/>
        <v>-1</v>
      </c>
      <c r="N37" s="112" t="s">
        <v>13</v>
      </c>
      <c r="O37" s="112"/>
      <c r="P37" s="113" t="str">
        <f t="shared" si="1"/>
        <v>Un</v>
      </c>
      <c r="Q37" s="112"/>
      <c r="R37" s="46"/>
      <c r="U37" s="38">
        <v>100</v>
      </c>
      <c r="V37" s="38">
        <v>100</v>
      </c>
      <c r="W37" s="38">
        <v>200</v>
      </c>
      <c r="X37" s="38">
        <v>400</v>
      </c>
      <c r="Y37" s="38">
        <v>700</v>
      </c>
      <c r="Z37" s="38">
        <v>1800</v>
      </c>
      <c r="AA37" s="38">
        <v>0</v>
      </c>
      <c r="AB37" s="38">
        <v>0</v>
      </c>
      <c r="AC37" s="38">
        <v>0</v>
      </c>
      <c r="AD37" s="38">
        <v>0</v>
      </c>
      <c r="AE37" s="38">
        <v>0</v>
      </c>
    </row>
    <row r="38" spans="1:31" s="38" customFormat="1" ht="15.95" customHeight="1" x14ac:dyDescent="0.2">
      <c r="A38" s="115" t="s">
        <v>53</v>
      </c>
      <c r="B38" s="116"/>
      <c r="C38" s="116">
        <v>5</v>
      </c>
      <c r="D38" s="116" t="s">
        <v>27</v>
      </c>
      <c r="E38" s="116">
        <v>30</v>
      </c>
      <c r="F38" s="116">
        <v>11</v>
      </c>
      <c r="G38" s="116">
        <v>16</v>
      </c>
      <c r="H38" s="116">
        <v>-5</v>
      </c>
      <c r="I38" s="116">
        <v>4</v>
      </c>
      <c r="J38" s="107" t="s">
        <v>283</v>
      </c>
      <c r="K38" s="46">
        <v>2</v>
      </c>
      <c r="L38" s="253"/>
      <c r="M38" s="113">
        <f t="shared" ca="1" si="8"/>
        <v>-1</v>
      </c>
      <c r="N38" s="112" t="s">
        <v>53</v>
      </c>
      <c r="O38" s="112"/>
      <c r="P38" s="113" t="str">
        <f t="shared" si="1"/>
        <v>Un</v>
      </c>
      <c r="Q38" s="112"/>
      <c r="R38" s="46"/>
      <c r="U38" s="38">
        <v>150</v>
      </c>
      <c r="V38" s="38">
        <v>150</v>
      </c>
      <c r="W38" s="38">
        <v>300</v>
      </c>
      <c r="X38" s="38">
        <v>600</v>
      </c>
      <c r="Y38" s="38">
        <v>1300</v>
      </c>
      <c r="Z38" s="38">
        <v>0</v>
      </c>
      <c r="AA38" s="38">
        <v>0</v>
      </c>
      <c r="AB38" s="38">
        <v>0</v>
      </c>
      <c r="AC38" s="38">
        <v>0</v>
      </c>
      <c r="AD38" s="38">
        <v>0</v>
      </c>
      <c r="AE38" s="38">
        <v>0</v>
      </c>
    </row>
    <row r="39" spans="1:31" s="38" customFormat="1" ht="15.95" customHeight="1" x14ac:dyDescent="0.2">
      <c r="A39" s="115" t="s">
        <v>54</v>
      </c>
      <c r="B39" s="116" t="s">
        <v>23</v>
      </c>
      <c r="C39" s="116"/>
      <c r="D39" s="116" t="s">
        <v>18</v>
      </c>
      <c r="E39" s="116">
        <v>45</v>
      </c>
      <c r="F39" s="116">
        <v>18</v>
      </c>
      <c r="G39" s="116">
        <v>16</v>
      </c>
      <c r="H39" s="116">
        <v>5</v>
      </c>
      <c r="I39" s="116">
        <v>5</v>
      </c>
      <c r="J39" s="107" t="s">
        <v>283</v>
      </c>
      <c r="K39" s="46">
        <v>8</v>
      </c>
      <c r="L39" s="253" t="s">
        <v>608</v>
      </c>
      <c r="M39" s="113">
        <f t="shared" ca="1" si="8"/>
        <v>-1</v>
      </c>
      <c r="N39" s="112" t="s">
        <v>212</v>
      </c>
      <c r="O39" s="112"/>
      <c r="P39" s="113" t="str">
        <f t="shared" si="1"/>
        <v>Un</v>
      </c>
      <c r="Q39" s="112"/>
      <c r="R39" s="46"/>
      <c r="U39" s="38">
        <v>200</v>
      </c>
      <c r="V39" s="38">
        <v>200</v>
      </c>
      <c r="W39" s="38">
        <v>400</v>
      </c>
      <c r="X39" s="38">
        <v>700</v>
      </c>
      <c r="Y39" s="38">
        <v>1500</v>
      </c>
      <c r="Z39" s="38">
        <v>3000</v>
      </c>
      <c r="AA39" s="38">
        <v>0</v>
      </c>
      <c r="AB39" s="38">
        <v>0</v>
      </c>
      <c r="AC39" s="38">
        <v>0</v>
      </c>
      <c r="AD39" s="38">
        <v>0</v>
      </c>
      <c r="AE39" s="38">
        <v>0</v>
      </c>
    </row>
    <row r="40" spans="1:31" s="38" customFormat="1" ht="15.95" customHeight="1" x14ac:dyDescent="0.2">
      <c r="A40" s="115" t="s">
        <v>55</v>
      </c>
      <c r="B40" s="116" t="s">
        <v>9</v>
      </c>
      <c r="C40" s="116"/>
      <c r="D40" s="116" t="s">
        <v>18</v>
      </c>
      <c r="E40" s="116">
        <v>55</v>
      </c>
      <c r="F40" s="116">
        <v>18</v>
      </c>
      <c r="G40" s="116">
        <v>15</v>
      </c>
      <c r="H40" s="116">
        <v>4</v>
      </c>
      <c r="I40" s="116">
        <v>5</v>
      </c>
      <c r="J40" s="107" t="s">
        <v>283</v>
      </c>
      <c r="K40" s="46">
        <v>6</v>
      </c>
      <c r="L40" s="253" t="s">
        <v>608</v>
      </c>
      <c r="M40" s="113">
        <f t="shared" ca="1" si="8"/>
        <v>-1</v>
      </c>
      <c r="N40" s="112" t="s">
        <v>94</v>
      </c>
      <c r="O40" s="112"/>
      <c r="P40" s="113" t="str">
        <f t="shared" si="1"/>
        <v>Un</v>
      </c>
      <c r="Q40" s="112"/>
      <c r="R40" s="46"/>
      <c r="U40" s="38">
        <v>100</v>
      </c>
      <c r="V40" s="38">
        <v>100</v>
      </c>
      <c r="W40" s="38">
        <v>200</v>
      </c>
      <c r="X40" s="38">
        <v>400</v>
      </c>
      <c r="Y40" s="38">
        <v>700</v>
      </c>
      <c r="Z40" s="38">
        <v>1500</v>
      </c>
      <c r="AA40" s="38">
        <v>0</v>
      </c>
      <c r="AB40" s="38">
        <v>0</v>
      </c>
      <c r="AC40" s="38">
        <v>0</v>
      </c>
      <c r="AD40" s="38">
        <v>0</v>
      </c>
      <c r="AE40" s="38">
        <v>0</v>
      </c>
    </row>
    <row r="41" spans="1:31" s="38" customFormat="1" ht="15.95" customHeight="1" x14ac:dyDescent="0.2">
      <c r="A41" s="115" t="s">
        <v>56</v>
      </c>
      <c r="B41" s="116" t="s">
        <v>16</v>
      </c>
      <c r="C41" s="116"/>
      <c r="D41" s="116" t="s">
        <v>18</v>
      </c>
      <c r="E41" s="116">
        <v>55</v>
      </c>
      <c r="F41" s="116">
        <v>12</v>
      </c>
      <c r="G41" s="116">
        <v>16</v>
      </c>
      <c r="H41" s="116">
        <v>2</v>
      </c>
      <c r="I41" s="116">
        <v>9</v>
      </c>
      <c r="J41" s="107" t="s">
        <v>283</v>
      </c>
      <c r="K41" s="46">
        <v>3</v>
      </c>
      <c r="L41" s="253" t="s">
        <v>608</v>
      </c>
      <c r="M41" s="112" t="s">
        <v>213</v>
      </c>
      <c r="N41" s="112"/>
      <c r="O41" s="112"/>
      <c r="P41" s="113" t="str">
        <f>IF(ISERROR(Combat!$L$1*1),"Un",ROUND(MIN(Combat!$L$1,MAX(M42:M46))/2,0))</f>
        <v>Un</v>
      </c>
      <c r="Q41" s="112" t="str">
        <f>CONCATENATE(N42,", ",N43,", ",N44,", ",N45,", ",N46)</f>
        <v>Javelin, Spear, Pike, Lance, Trident</v>
      </c>
      <c r="R41" s="46">
        <f ca="1">MAX(M42:M46)</f>
        <v>-1</v>
      </c>
      <c r="U41" s="38">
        <v>75</v>
      </c>
      <c r="V41" s="38">
        <v>75</v>
      </c>
      <c r="W41" s="38">
        <v>150</v>
      </c>
      <c r="X41" s="38">
        <v>200</v>
      </c>
      <c r="Y41" s="38">
        <v>500</v>
      </c>
      <c r="Z41" s="38">
        <v>1000</v>
      </c>
      <c r="AA41" s="38">
        <v>2000</v>
      </c>
      <c r="AB41" s="38">
        <v>4000</v>
      </c>
      <c r="AC41" s="38">
        <v>4000</v>
      </c>
      <c r="AD41" s="38">
        <v>3000</v>
      </c>
      <c r="AE41" s="38">
        <v>0</v>
      </c>
    </row>
    <row r="42" spans="1:31" s="38" customFormat="1" ht="15.95" customHeight="1" x14ac:dyDescent="0.2">
      <c r="A42" s="115" t="s">
        <v>57</v>
      </c>
      <c r="B42" s="116" t="s">
        <v>23</v>
      </c>
      <c r="C42" s="116"/>
      <c r="D42" s="116" t="s">
        <v>18</v>
      </c>
      <c r="E42" s="116">
        <v>45</v>
      </c>
      <c r="F42" s="116">
        <v>11</v>
      </c>
      <c r="G42" s="116">
        <v>18</v>
      </c>
      <c r="H42" s="116">
        <v>3</v>
      </c>
      <c r="I42" s="116">
        <v>10</v>
      </c>
      <c r="J42" s="107" t="s">
        <v>283</v>
      </c>
      <c r="K42" s="46">
        <v>2</v>
      </c>
      <c r="L42" s="253"/>
      <c r="M42" s="113">
        <f t="shared" ref="M42:M46" ca="1" si="9">IFERROR(OFFSET($A$1,MATCH($N42,$A$1:$A$199,0)-1,9)*1,-1)</f>
        <v>-1</v>
      </c>
      <c r="N42" s="112" t="s">
        <v>45</v>
      </c>
      <c r="O42" s="112"/>
      <c r="P42" s="113" t="str">
        <f t="shared" si="1"/>
        <v>Un</v>
      </c>
      <c r="Q42" s="112"/>
      <c r="R42" s="46"/>
      <c r="U42" s="38">
        <v>200</v>
      </c>
      <c r="V42" s="38">
        <v>200</v>
      </c>
      <c r="W42" s="38">
        <v>200</v>
      </c>
      <c r="X42" s="38">
        <v>200</v>
      </c>
      <c r="Y42" s="38">
        <v>200</v>
      </c>
      <c r="Z42" s="38">
        <v>500</v>
      </c>
      <c r="AA42" s="38">
        <v>500</v>
      </c>
      <c r="AB42" s="38">
        <v>2000</v>
      </c>
      <c r="AC42" s="38">
        <v>4000</v>
      </c>
      <c r="AD42" s="38">
        <v>4000</v>
      </c>
      <c r="AE42" s="38">
        <v>3000</v>
      </c>
    </row>
    <row r="43" spans="1:31" s="38" customFormat="1" ht="15.95" customHeight="1" x14ac:dyDescent="0.2">
      <c r="A43" s="115" t="s">
        <v>58</v>
      </c>
      <c r="B43" s="116" t="s">
        <v>16</v>
      </c>
      <c r="C43" s="116">
        <v>8</v>
      </c>
      <c r="D43" s="116" t="s">
        <v>27</v>
      </c>
      <c r="E43" s="116">
        <v>30</v>
      </c>
      <c r="F43" s="116">
        <v>5</v>
      </c>
      <c r="G43" s="116">
        <v>10</v>
      </c>
      <c r="H43" s="116">
        <v>-1</v>
      </c>
      <c r="I43" s="116">
        <v>6</v>
      </c>
      <c r="J43" s="107" t="s">
        <v>283</v>
      </c>
      <c r="K43" s="46"/>
      <c r="L43" s="253"/>
      <c r="M43" s="113">
        <f t="shared" ca="1" si="9"/>
        <v>-1</v>
      </c>
      <c r="N43" s="112" t="s">
        <v>67</v>
      </c>
      <c r="O43" s="112"/>
      <c r="P43" s="113" t="str">
        <f t="shared" si="1"/>
        <v>Un</v>
      </c>
      <c r="Q43" s="112"/>
      <c r="R43" s="46"/>
      <c r="U43" s="38">
        <v>25</v>
      </c>
      <c r="V43" s="38">
        <v>25</v>
      </c>
      <c r="W43" s="38">
        <v>100</v>
      </c>
      <c r="X43" s="38">
        <v>150</v>
      </c>
      <c r="Y43" s="38">
        <v>200</v>
      </c>
      <c r="Z43" s="38">
        <v>300</v>
      </c>
      <c r="AA43" s="38">
        <v>500</v>
      </c>
      <c r="AB43" s="38">
        <v>0</v>
      </c>
      <c r="AC43" s="38">
        <v>0</v>
      </c>
      <c r="AD43" s="38">
        <v>0</v>
      </c>
      <c r="AE43" s="38">
        <v>0</v>
      </c>
    </row>
    <row r="44" spans="1:31" s="38" customFormat="1" ht="15.95" customHeight="1" x14ac:dyDescent="0.2">
      <c r="A44" s="115" t="s">
        <v>59</v>
      </c>
      <c r="B44" s="116" t="s">
        <v>9</v>
      </c>
      <c r="C44" s="116"/>
      <c r="D44" s="116" t="s">
        <v>18</v>
      </c>
      <c r="E44" s="116">
        <v>60</v>
      </c>
      <c r="F44" s="116">
        <v>14</v>
      </c>
      <c r="G44" s="116">
        <v>15</v>
      </c>
      <c r="H44" s="116">
        <v>3</v>
      </c>
      <c r="I44" s="116">
        <v>7</v>
      </c>
      <c r="J44" s="107" t="s">
        <v>283</v>
      </c>
      <c r="K44" s="46">
        <v>3</v>
      </c>
      <c r="L44" s="253"/>
      <c r="M44" s="113">
        <f t="shared" ca="1" si="9"/>
        <v>-1</v>
      </c>
      <c r="N44" s="112" t="s">
        <v>54</v>
      </c>
      <c r="O44" s="112"/>
      <c r="P44" s="113" t="str">
        <f t="shared" si="1"/>
        <v>Un</v>
      </c>
      <c r="Q44" s="112"/>
      <c r="R44" s="46"/>
      <c r="U44" s="38">
        <v>150</v>
      </c>
      <c r="V44" s="38">
        <v>150</v>
      </c>
      <c r="W44" s="38">
        <v>200</v>
      </c>
      <c r="X44" s="38">
        <v>500</v>
      </c>
      <c r="Y44" s="38">
        <v>1000</v>
      </c>
      <c r="Z44" s="38">
        <v>2000</v>
      </c>
      <c r="AA44" s="38">
        <v>2000</v>
      </c>
      <c r="AB44" s="38">
        <v>2000</v>
      </c>
      <c r="AC44" s="38">
        <v>0</v>
      </c>
      <c r="AD44" s="38">
        <v>0</v>
      </c>
      <c r="AE44" s="38">
        <v>0</v>
      </c>
    </row>
    <row r="45" spans="1:31" s="38" customFormat="1" ht="15.95" customHeight="1" x14ac:dyDescent="0.2">
      <c r="A45" s="115" t="s">
        <v>60</v>
      </c>
      <c r="B45" s="116" t="s">
        <v>16</v>
      </c>
      <c r="C45" s="116"/>
      <c r="D45" s="116" t="s">
        <v>20</v>
      </c>
      <c r="E45" s="116">
        <v>40</v>
      </c>
      <c r="F45" s="116">
        <v>9</v>
      </c>
      <c r="G45" s="116">
        <v>11</v>
      </c>
      <c r="H45" s="116">
        <v>1</v>
      </c>
      <c r="I45" s="116">
        <v>3</v>
      </c>
      <c r="J45" s="107" t="s">
        <v>283</v>
      </c>
      <c r="K45" s="46">
        <v>1</v>
      </c>
      <c r="L45" s="253"/>
      <c r="M45" s="113">
        <f t="shared" ca="1" si="9"/>
        <v>-1</v>
      </c>
      <c r="N45" s="112" t="s">
        <v>46</v>
      </c>
      <c r="O45" s="112"/>
      <c r="P45" s="113" t="str">
        <f t="shared" si="1"/>
        <v>Un</v>
      </c>
      <c r="Q45" s="112"/>
      <c r="R45" s="46"/>
      <c r="U45" s="38">
        <v>25</v>
      </c>
      <c r="V45" s="38">
        <v>75</v>
      </c>
      <c r="W45" s="38">
        <v>150</v>
      </c>
      <c r="X45" s="38">
        <v>250</v>
      </c>
      <c r="Y45" s="38">
        <v>0</v>
      </c>
      <c r="Z45" s="38">
        <v>0</v>
      </c>
      <c r="AA45" s="38">
        <v>0</v>
      </c>
      <c r="AB45" s="38">
        <v>0</v>
      </c>
      <c r="AC45" s="38">
        <v>0</v>
      </c>
      <c r="AD45" s="38">
        <v>0</v>
      </c>
      <c r="AE45" s="38">
        <v>0</v>
      </c>
    </row>
    <row r="46" spans="1:31" s="38" customFormat="1" ht="15.95" customHeight="1" x14ac:dyDescent="0.2">
      <c r="A46" s="115" t="s">
        <v>61</v>
      </c>
      <c r="B46" s="116" t="s">
        <v>9</v>
      </c>
      <c r="C46" s="116"/>
      <c r="D46" s="116" t="s">
        <v>18</v>
      </c>
      <c r="E46" s="116">
        <v>50</v>
      </c>
      <c r="F46" s="116">
        <v>11</v>
      </c>
      <c r="G46" s="116">
        <v>15</v>
      </c>
      <c r="H46" s="116">
        <v>3</v>
      </c>
      <c r="I46" s="116">
        <v>8</v>
      </c>
      <c r="J46" s="107" t="s">
        <v>283</v>
      </c>
      <c r="K46" s="46">
        <v>4</v>
      </c>
      <c r="L46" s="253"/>
      <c r="M46" s="113">
        <f t="shared" ca="1" si="9"/>
        <v>-1</v>
      </c>
      <c r="N46" s="112" t="s">
        <v>71</v>
      </c>
      <c r="O46" s="112"/>
      <c r="P46" s="113" t="str">
        <f t="shared" si="1"/>
        <v>Un</v>
      </c>
      <c r="Q46" s="112"/>
      <c r="R46" s="46"/>
      <c r="U46" s="38">
        <v>100</v>
      </c>
      <c r="V46" s="38">
        <v>100</v>
      </c>
      <c r="W46" s="38">
        <v>200</v>
      </c>
      <c r="X46" s="38">
        <v>400</v>
      </c>
      <c r="Y46" s="38">
        <v>700</v>
      </c>
      <c r="Z46" s="38">
        <v>1500</v>
      </c>
      <c r="AA46" s="38">
        <v>3000</v>
      </c>
      <c r="AB46" s="38">
        <v>3000</v>
      </c>
      <c r="AC46" s="38">
        <v>3000</v>
      </c>
      <c r="AD46" s="38">
        <v>0</v>
      </c>
      <c r="AE46" s="38">
        <v>0</v>
      </c>
    </row>
    <row r="47" spans="1:31" s="38" customFormat="1" ht="15.95" customHeight="1" x14ac:dyDescent="0.2">
      <c r="A47" s="115" t="s">
        <v>62</v>
      </c>
      <c r="B47" s="116" t="s">
        <v>23</v>
      </c>
      <c r="C47" s="116">
        <v>30</v>
      </c>
      <c r="D47" s="116" t="s">
        <v>12</v>
      </c>
      <c r="E47" s="116">
        <v>45</v>
      </c>
      <c r="F47" s="116">
        <v>10</v>
      </c>
      <c r="G47" s="116">
        <v>15</v>
      </c>
      <c r="H47" s="116">
        <v>0</v>
      </c>
      <c r="I47" s="116">
        <v>8</v>
      </c>
      <c r="J47" s="107" t="s">
        <v>283</v>
      </c>
      <c r="K47" s="46">
        <v>2</v>
      </c>
      <c r="L47" s="253" t="s">
        <v>608</v>
      </c>
      <c r="M47" s="112" t="s">
        <v>214</v>
      </c>
      <c r="N47" s="112"/>
      <c r="O47" s="112"/>
      <c r="P47" s="113" t="str">
        <f>IF(ISERROR(Combat!$L$1*1),"Un",ROUND(MIN(Combat!$L$1,MAX(M48:M51))/2,0))</f>
        <v>Un</v>
      </c>
      <c r="Q47" s="112" t="str">
        <f>CONCATENATE(N48,", ",N49,", ",N50,", ",N51)</f>
        <v>Halberd, Poleaxe, Glaive, Quarterstaff</v>
      </c>
      <c r="R47" s="46">
        <f ca="1">MAX(M48:M51)</f>
        <v>-1</v>
      </c>
      <c r="U47" s="38">
        <v>100</v>
      </c>
      <c r="V47" s="38">
        <v>100</v>
      </c>
      <c r="W47" s="38">
        <v>200</v>
      </c>
      <c r="X47" s="38">
        <v>400</v>
      </c>
      <c r="Y47" s="38">
        <v>700</v>
      </c>
      <c r="Z47" s="38">
        <v>1500</v>
      </c>
      <c r="AA47" s="38">
        <v>3000</v>
      </c>
      <c r="AB47" s="38">
        <v>3000</v>
      </c>
      <c r="AC47" s="38">
        <v>3000</v>
      </c>
      <c r="AD47" s="38">
        <v>0</v>
      </c>
      <c r="AE47" s="38">
        <v>0</v>
      </c>
    </row>
    <row r="48" spans="1:31" s="38" customFormat="1" ht="15.95" customHeight="1" x14ac:dyDescent="0.2">
      <c r="A48" s="115" t="s">
        <v>63</v>
      </c>
      <c r="B48" s="116" t="s">
        <v>16</v>
      </c>
      <c r="C48" s="116"/>
      <c r="D48" s="116" t="s">
        <v>18</v>
      </c>
      <c r="E48" s="116">
        <v>40</v>
      </c>
      <c r="F48" s="116">
        <v>10</v>
      </c>
      <c r="G48" s="116">
        <v>12</v>
      </c>
      <c r="H48" s="116">
        <v>-2</v>
      </c>
      <c r="I48" s="116">
        <v>4</v>
      </c>
      <c r="J48" s="107" t="s">
        <v>283</v>
      </c>
      <c r="K48" s="46"/>
      <c r="L48" s="253"/>
      <c r="M48" s="113">
        <f t="shared" ref="M48:M51" ca="1" si="10">IFERROR(OFFSET($A$1,MATCH($N48,$A$1:$A$199,0)-1,9)*1,-1)</f>
        <v>-1</v>
      </c>
      <c r="N48" s="112" t="s">
        <v>41</v>
      </c>
      <c r="O48" s="112"/>
      <c r="P48" s="113" t="str">
        <f t="shared" si="1"/>
        <v>Un</v>
      </c>
      <c r="Q48" s="112"/>
      <c r="R48" s="46"/>
      <c r="U48" s="38">
        <v>25</v>
      </c>
      <c r="V48" s="38">
        <v>25</v>
      </c>
      <c r="W48" s="38">
        <v>50</v>
      </c>
      <c r="X48" s="38">
        <v>100</v>
      </c>
      <c r="Y48" s="38">
        <v>200</v>
      </c>
      <c r="Z48" s="38">
        <v>0</v>
      </c>
      <c r="AA48" s="38">
        <v>0</v>
      </c>
      <c r="AB48" s="38">
        <v>0</v>
      </c>
      <c r="AC48" s="38">
        <v>0</v>
      </c>
      <c r="AD48" s="38">
        <v>0</v>
      </c>
      <c r="AE48" s="38">
        <v>0</v>
      </c>
    </row>
    <row r="49" spans="1:31" s="38" customFormat="1" ht="15.95" customHeight="1" x14ac:dyDescent="0.2">
      <c r="A49" s="115" t="s">
        <v>64</v>
      </c>
      <c r="B49" s="116" t="s">
        <v>23</v>
      </c>
      <c r="C49" s="116">
        <v>60</v>
      </c>
      <c r="D49" s="116" t="s">
        <v>12</v>
      </c>
      <c r="E49" s="116">
        <v>45</v>
      </c>
      <c r="F49" s="116">
        <v>14</v>
      </c>
      <c r="G49" s="116">
        <v>15</v>
      </c>
      <c r="H49" s="116">
        <v>2</v>
      </c>
      <c r="I49" s="116">
        <v>8</v>
      </c>
      <c r="J49" s="107" t="s">
        <v>283</v>
      </c>
      <c r="K49" s="46">
        <v>4</v>
      </c>
      <c r="L49" s="253" t="s">
        <v>608</v>
      </c>
      <c r="M49" s="113">
        <f t="shared" ca="1" si="10"/>
        <v>-1</v>
      </c>
      <c r="N49" s="112" t="s">
        <v>55</v>
      </c>
      <c r="O49" s="112"/>
      <c r="P49" s="113" t="str">
        <f t="shared" si="1"/>
        <v>Un</v>
      </c>
      <c r="Q49" s="112"/>
      <c r="R49" s="46"/>
      <c r="U49" s="38">
        <v>100</v>
      </c>
      <c r="V49" s="38">
        <v>100</v>
      </c>
      <c r="W49" s="38">
        <v>200</v>
      </c>
      <c r="X49" s="38">
        <v>400</v>
      </c>
      <c r="Y49" s="38">
        <v>700</v>
      </c>
      <c r="Z49" s="38">
        <v>1500</v>
      </c>
      <c r="AA49" s="38">
        <v>3000</v>
      </c>
      <c r="AB49" s="38">
        <v>3000</v>
      </c>
      <c r="AC49" s="38">
        <v>3000</v>
      </c>
      <c r="AD49" s="38">
        <v>0</v>
      </c>
      <c r="AE49" s="38">
        <v>0</v>
      </c>
    </row>
    <row r="50" spans="1:31" s="38" customFormat="1" ht="15.95" customHeight="1" x14ac:dyDescent="0.2">
      <c r="A50" s="115" t="s">
        <v>65</v>
      </c>
      <c r="B50" s="116" t="s">
        <v>23</v>
      </c>
      <c r="C50" s="116"/>
      <c r="D50" s="116" t="s">
        <v>18</v>
      </c>
      <c r="E50" s="116">
        <v>45</v>
      </c>
      <c r="F50" s="116">
        <v>10</v>
      </c>
      <c r="G50" s="116">
        <v>12</v>
      </c>
      <c r="H50" s="116">
        <v>3</v>
      </c>
      <c r="I50" s="116">
        <v>6</v>
      </c>
      <c r="J50" s="107" t="s">
        <v>283</v>
      </c>
      <c r="K50" s="46">
        <v>2</v>
      </c>
      <c r="L50" s="253"/>
      <c r="M50" s="113">
        <f t="shared" ca="1" si="10"/>
        <v>-1</v>
      </c>
      <c r="N50" s="112" t="s">
        <v>38</v>
      </c>
      <c r="O50" s="112"/>
      <c r="P50" s="113" t="str">
        <f t="shared" si="1"/>
        <v>Un</v>
      </c>
      <c r="Q50" s="112"/>
      <c r="R50" s="46"/>
      <c r="U50" s="38">
        <v>100</v>
      </c>
      <c r="V50" s="38">
        <v>100</v>
      </c>
      <c r="W50" s="38">
        <v>200</v>
      </c>
      <c r="X50" s="38">
        <v>400</v>
      </c>
      <c r="Y50" s="38">
        <v>700</v>
      </c>
      <c r="Z50" s="38">
        <v>1500</v>
      </c>
      <c r="AA50" s="38">
        <v>3000</v>
      </c>
      <c r="AB50" s="38">
        <v>0</v>
      </c>
      <c r="AC50" s="38">
        <v>0</v>
      </c>
      <c r="AD50" s="38">
        <v>0</v>
      </c>
      <c r="AE50" s="38">
        <v>0</v>
      </c>
    </row>
    <row r="51" spans="1:31" s="38" customFormat="1" ht="15.95" customHeight="1" x14ac:dyDescent="0.2">
      <c r="A51" s="115" t="s">
        <v>66</v>
      </c>
      <c r="B51" s="116" t="s">
        <v>16</v>
      </c>
      <c r="C51" s="116">
        <v>60</v>
      </c>
      <c r="D51" s="116" t="s">
        <v>12</v>
      </c>
      <c r="E51" s="116">
        <v>40</v>
      </c>
      <c r="F51" s="116">
        <v>7</v>
      </c>
      <c r="G51" s="116">
        <v>15</v>
      </c>
      <c r="H51" s="116">
        <v>1</v>
      </c>
      <c r="I51" s="116">
        <v>8</v>
      </c>
      <c r="J51" s="107" t="s">
        <v>283</v>
      </c>
      <c r="K51" s="46">
        <v>1</v>
      </c>
      <c r="L51" s="253" t="s">
        <v>608</v>
      </c>
      <c r="M51" s="113">
        <f t="shared" ca="1" si="10"/>
        <v>-1</v>
      </c>
      <c r="N51" s="112" t="s">
        <v>56</v>
      </c>
      <c r="O51" s="112"/>
      <c r="P51" s="113" t="str">
        <f t="shared" si="1"/>
        <v>Un</v>
      </c>
      <c r="Q51" s="112"/>
      <c r="R51" s="46"/>
      <c r="U51" s="38">
        <v>200</v>
      </c>
      <c r="V51" s="38">
        <v>200</v>
      </c>
      <c r="W51" s="38">
        <v>400</v>
      </c>
      <c r="X51" s="38">
        <v>700</v>
      </c>
      <c r="Y51" s="38">
        <v>1500</v>
      </c>
      <c r="Z51" s="38">
        <v>3000</v>
      </c>
      <c r="AA51" s="38">
        <v>3000</v>
      </c>
      <c r="AB51" s="38">
        <v>3000</v>
      </c>
      <c r="AC51" s="38">
        <v>3000</v>
      </c>
      <c r="AD51" s="38">
        <v>0</v>
      </c>
      <c r="AE51" s="38">
        <v>0</v>
      </c>
    </row>
    <row r="52" spans="1:31" s="38" customFormat="1" ht="15.95" customHeight="1" x14ac:dyDescent="0.2">
      <c r="A52" s="115" t="s">
        <v>67</v>
      </c>
      <c r="B52" s="116" t="s">
        <v>23</v>
      </c>
      <c r="C52" s="116">
        <v>6</v>
      </c>
      <c r="D52" s="116" t="s">
        <v>10</v>
      </c>
      <c r="E52" s="116">
        <v>50</v>
      </c>
      <c r="F52" s="116">
        <v>15</v>
      </c>
      <c r="G52" s="116">
        <v>14</v>
      </c>
      <c r="H52" s="116">
        <v>3</v>
      </c>
      <c r="I52" s="116">
        <v>5</v>
      </c>
      <c r="J52" s="107" t="s">
        <v>283</v>
      </c>
      <c r="K52" s="46">
        <v>5</v>
      </c>
      <c r="L52" s="252" t="s">
        <v>607</v>
      </c>
      <c r="M52" s="112" t="s">
        <v>215</v>
      </c>
      <c r="N52" s="112"/>
      <c r="O52" s="112"/>
      <c r="P52" s="113" t="str">
        <f>IF(ISERROR(Combat!$L$1*1),"Un",ROUND(MIN(Combat!$L$1,MAX(M53:M54))/2,0))</f>
        <v>Un</v>
      </c>
      <c r="Q52" s="112" t="str">
        <f>CONCATENATE(N53,", ",N54)</f>
        <v>Unarmed, Cestus</v>
      </c>
      <c r="R52" s="46">
        <f ca="1">MAX(M53:M54)</f>
        <v>-1</v>
      </c>
      <c r="U52" s="38">
        <v>100</v>
      </c>
      <c r="V52" s="38">
        <v>100</v>
      </c>
      <c r="W52" s="38">
        <v>200</v>
      </c>
      <c r="X52" s="38">
        <v>400</v>
      </c>
      <c r="Y52" s="38">
        <v>700</v>
      </c>
      <c r="Z52" s="38">
        <v>1800</v>
      </c>
      <c r="AA52" s="38">
        <v>0</v>
      </c>
      <c r="AB52" s="38">
        <v>0</v>
      </c>
      <c r="AC52" s="38">
        <v>0</v>
      </c>
      <c r="AD52" s="38">
        <v>0</v>
      </c>
      <c r="AE52" s="38">
        <v>0</v>
      </c>
    </row>
    <row r="53" spans="1:31" s="38" customFormat="1" ht="15.95" customHeight="1" x14ac:dyDescent="0.2">
      <c r="A53" s="115" t="s">
        <v>68</v>
      </c>
      <c r="B53" s="116" t="s">
        <v>23</v>
      </c>
      <c r="C53" s="116">
        <v>15</v>
      </c>
      <c r="D53" s="116" t="s">
        <v>12</v>
      </c>
      <c r="E53" s="116">
        <v>50</v>
      </c>
      <c r="F53" s="116">
        <v>11</v>
      </c>
      <c r="G53" s="116">
        <v>14</v>
      </c>
      <c r="H53" s="116">
        <v>2</v>
      </c>
      <c r="I53" s="116">
        <v>10</v>
      </c>
      <c r="J53" s="107" t="s">
        <v>283</v>
      </c>
      <c r="K53" s="46">
        <v>4</v>
      </c>
      <c r="L53" s="253" t="s">
        <v>608</v>
      </c>
      <c r="M53" s="113">
        <f t="shared" ref="M53:M54" ca="1" si="11">IFERROR(OFFSET($A$1,MATCH($N53,$A$1:$A$199,0)-1,9)*1,-1)</f>
        <v>-1</v>
      </c>
      <c r="N53" s="112" t="s">
        <v>74</v>
      </c>
      <c r="O53" s="112"/>
      <c r="P53" s="113" t="str">
        <f t="shared" si="1"/>
        <v>Un</v>
      </c>
      <c r="Q53" s="112"/>
      <c r="R53" s="46"/>
      <c r="U53" s="38">
        <v>25</v>
      </c>
      <c r="V53" s="38">
        <v>25</v>
      </c>
      <c r="W53" s="38">
        <v>50</v>
      </c>
      <c r="X53" s="38">
        <v>100</v>
      </c>
      <c r="Y53" s="38">
        <v>200</v>
      </c>
      <c r="Z53" s="38">
        <v>400</v>
      </c>
      <c r="AA53" s="38">
        <v>700</v>
      </c>
      <c r="AB53" s="38">
        <v>1500</v>
      </c>
      <c r="AC53" s="38">
        <v>3000</v>
      </c>
      <c r="AD53" s="38">
        <v>4000</v>
      </c>
      <c r="AE53" s="38">
        <v>5000</v>
      </c>
    </row>
    <row r="54" spans="1:31" s="38" customFormat="1" ht="15.95" customHeight="1" x14ac:dyDescent="0.2">
      <c r="A54" s="115" t="s">
        <v>69</v>
      </c>
      <c r="B54" s="116" t="s">
        <v>23</v>
      </c>
      <c r="C54" s="116">
        <v>12</v>
      </c>
      <c r="D54" s="116" t="s">
        <v>12</v>
      </c>
      <c r="E54" s="116">
        <v>40</v>
      </c>
      <c r="F54" s="116">
        <v>9</v>
      </c>
      <c r="G54" s="116">
        <v>15</v>
      </c>
      <c r="H54" s="116">
        <v>0</v>
      </c>
      <c r="I54" s="116">
        <v>10</v>
      </c>
      <c r="J54" s="107" t="s">
        <v>283</v>
      </c>
      <c r="K54" s="46">
        <f>3/16</f>
        <v>0.1875</v>
      </c>
      <c r="L54" s="253"/>
      <c r="M54" s="113">
        <f t="shared" ca="1" si="11"/>
        <v>-1</v>
      </c>
      <c r="N54" s="112" t="s">
        <v>19</v>
      </c>
      <c r="O54" s="112"/>
      <c r="P54" s="113" t="str">
        <f t="shared" si="1"/>
        <v>Un</v>
      </c>
      <c r="Q54" s="112"/>
      <c r="R54" s="46"/>
      <c r="U54" s="38">
        <v>200</v>
      </c>
      <c r="V54" s="38">
        <v>100</v>
      </c>
      <c r="W54" s="38">
        <v>200</v>
      </c>
      <c r="X54" s="38">
        <v>500</v>
      </c>
      <c r="Y54" s="38">
        <v>1000</v>
      </c>
      <c r="Z54" s="38">
        <v>2000</v>
      </c>
      <c r="AA54" s="38">
        <v>2000</v>
      </c>
      <c r="AB54" s="38">
        <v>2000</v>
      </c>
      <c r="AC54" s="38">
        <v>2000</v>
      </c>
      <c r="AD54" s="38">
        <v>2000</v>
      </c>
      <c r="AE54" s="38">
        <v>2000</v>
      </c>
    </row>
    <row r="55" spans="1:31" s="38" customFormat="1" ht="15.95" customHeight="1" x14ac:dyDescent="0.2">
      <c r="A55" s="115" t="s">
        <v>70</v>
      </c>
      <c r="B55" s="116" t="s">
        <v>16</v>
      </c>
      <c r="C55" s="116"/>
      <c r="D55" s="116" t="s">
        <v>18</v>
      </c>
      <c r="E55" s="116">
        <v>40</v>
      </c>
      <c r="F55" s="116">
        <v>8</v>
      </c>
      <c r="G55" s="116">
        <v>12</v>
      </c>
      <c r="H55" s="116">
        <v>1</v>
      </c>
      <c r="I55" s="116">
        <v>-1</v>
      </c>
      <c r="J55" s="187" t="s">
        <v>283</v>
      </c>
      <c r="K55" s="46"/>
      <c r="L55" s="253"/>
      <c r="M55" s="112" t="s">
        <v>216</v>
      </c>
      <c r="N55" s="112"/>
      <c r="O55" s="112"/>
      <c r="P55" s="113" t="str">
        <f>IF(ISERROR(Combat!$L$1*1),"Un",ROUND(MIN(Combat!$L$1,MAX(M56:M56))/2,0))</f>
        <v>Un</v>
      </c>
      <c r="Q55" s="112" t="str">
        <f>N56</f>
        <v>Shield</v>
      </c>
      <c r="R55" s="46">
        <f ca="1">MAX(M56:M56)</f>
        <v>-1</v>
      </c>
      <c r="U55" s="38">
        <v>0</v>
      </c>
      <c r="V55" s="38">
        <v>0</v>
      </c>
      <c r="W55" s="38">
        <v>0</v>
      </c>
      <c r="X55" s="38">
        <v>0</v>
      </c>
      <c r="Y55" s="38">
        <v>0</v>
      </c>
      <c r="Z55" s="38">
        <v>0</v>
      </c>
      <c r="AA55" s="38">
        <v>0</v>
      </c>
      <c r="AB55" s="38">
        <v>0</v>
      </c>
      <c r="AC55" s="38">
        <v>0</v>
      </c>
      <c r="AD55" s="38">
        <v>0</v>
      </c>
      <c r="AE55" s="38">
        <v>0</v>
      </c>
    </row>
    <row r="56" spans="1:31" s="38" customFormat="1" ht="15.95" customHeight="1" x14ac:dyDescent="0.2">
      <c r="A56" s="115" t="s">
        <v>71</v>
      </c>
      <c r="B56" s="116" t="s">
        <v>23</v>
      </c>
      <c r="C56" s="116">
        <v>5</v>
      </c>
      <c r="D56" s="116" t="s">
        <v>18</v>
      </c>
      <c r="E56" s="116">
        <v>45</v>
      </c>
      <c r="F56" s="116">
        <v>14</v>
      </c>
      <c r="G56" s="116">
        <v>16</v>
      </c>
      <c r="H56" s="116">
        <v>2</v>
      </c>
      <c r="I56" s="116">
        <v>5</v>
      </c>
      <c r="J56" s="107" t="s">
        <v>283</v>
      </c>
      <c r="K56" s="46">
        <v>5</v>
      </c>
      <c r="L56" s="252" t="s">
        <v>607</v>
      </c>
      <c r="M56" s="113">
        <f ca="1">IFERROR(OFFSET($A$1,MATCH($N56,$A$1:$A$199,0)-1,9)*1,-1)</f>
        <v>-1</v>
      </c>
      <c r="N56" s="112" t="s">
        <v>63</v>
      </c>
      <c r="O56" s="112"/>
      <c r="P56" s="113" t="str">
        <f>P55</f>
        <v>Un</v>
      </c>
      <c r="Q56" s="112"/>
      <c r="R56" s="46"/>
      <c r="U56" s="38">
        <v>200</v>
      </c>
      <c r="V56" s="38">
        <v>200</v>
      </c>
      <c r="W56" s="38">
        <v>400</v>
      </c>
      <c r="X56" s="38">
        <v>800</v>
      </c>
      <c r="Y56" s="38">
        <v>1400</v>
      </c>
      <c r="Z56" s="38">
        <v>3000</v>
      </c>
      <c r="AA56" s="38">
        <v>0</v>
      </c>
      <c r="AB56" s="38">
        <v>0</v>
      </c>
      <c r="AC56" s="38">
        <v>0</v>
      </c>
      <c r="AD56" s="38">
        <v>0</v>
      </c>
      <c r="AE56" s="38">
        <v>0</v>
      </c>
    </row>
    <row r="57" spans="1:31" s="38" customFormat="1" ht="15.95" customHeight="1" x14ac:dyDescent="0.2">
      <c r="A57" s="115" t="s">
        <v>72</v>
      </c>
      <c r="B57" s="116" t="s">
        <v>9</v>
      </c>
      <c r="C57" s="116"/>
      <c r="D57" s="116" t="s">
        <v>18</v>
      </c>
      <c r="E57" s="116">
        <v>50</v>
      </c>
      <c r="F57" s="116">
        <v>13</v>
      </c>
      <c r="G57" s="116">
        <v>15</v>
      </c>
      <c r="H57" s="116">
        <v>4</v>
      </c>
      <c r="I57" s="116">
        <v>8</v>
      </c>
      <c r="J57" s="107" t="s">
        <v>283</v>
      </c>
      <c r="K57" s="46">
        <v>4</v>
      </c>
      <c r="L57" s="253"/>
      <c r="M57" s="112" t="s">
        <v>217</v>
      </c>
      <c r="N57" s="112"/>
      <c r="O57" s="112"/>
      <c r="P57" s="113" t="s">
        <v>283</v>
      </c>
      <c r="Q57" s="112"/>
      <c r="R57" s="46"/>
      <c r="U57" s="38">
        <v>100</v>
      </c>
      <c r="V57" s="38">
        <v>100</v>
      </c>
      <c r="W57" s="38">
        <v>200</v>
      </c>
      <c r="X57" s="38">
        <v>400</v>
      </c>
      <c r="Y57" s="38">
        <v>700</v>
      </c>
      <c r="Z57" s="38">
        <v>1500</v>
      </c>
      <c r="AA57" s="38">
        <v>3000</v>
      </c>
      <c r="AB57" s="38">
        <v>3000</v>
      </c>
      <c r="AC57" s="38">
        <v>3000</v>
      </c>
      <c r="AD57" s="38">
        <v>0</v>
      </c>
      <c r="AE57" s="38">
        <v>0</v>
      </c>
    </row>
    <row r="58" spans="1:31" s="38" customFormat="1" ht="15.95" customHeight="1" x14ac:dyDescent="0.2">
      <c r="A58" s="115" t="s">
        <v>73</v>
      </c>
      <c r="B58" s="116" t="s">
        <v>9</v>
      </c>
      <c r="C58" s="116"/>
      <c r="D58" s="116" t="s">
        <v>18</v>
      </c>
      <c r="E58" s="116">
        <v>55</v>
      </c>
      <c r="F58" s="116">
        <v>22</v>
      </c>
      <c r="G58" s="116">
        <v>14</v>
      </c>
      <c r="H58" s="116">
        <v>7</v>
      </c>
      <c r="I58" s="116">
        <v>5</v>
      </c>
      <c r="J58" s="107" t="s">
        <v>283</v>
      </c>
      <c r="K58" s="46">
        <v>9</v>
      </c>
      <c r="L58" s="253" t="s">
        <v>608</v>
      </c>
      <c r="N58" s="112" t="s">
        <v>11</v>
      </c>
      <c r="O58" s="112"/>
      <c r="P58" s="112" t="str">
        <f>$P$57</f>
        <v>Un</v>
      </c>
      <c r="Q58" s="112"/>
      <c r="R58" s="46"/>
      <c r="U58" s="38">
        <v>50</v>
      </c>
      <c r="V58" s="38">
        <v>50</v>
      </c>
      <c r="W58" s="38">
        <v>100</v>
      </c>
      <c r="X58" s="38">
        <v>200</v>
      </c>
      <c r="Y58" s="38">
        <v>400</v>
      </c>
      <c r="Z58" s="38">
        <v>700</v>
      </c>
      <c r="AA58" s="38">
        <v>0</v>
      </c>
      <c r="AB58" s="38">
        <v>0</v>
      </c>
      <c r="AC58" s="38">
        <v>0</v>
      </c>
      <c r="AD58" s="38">
        <v>0</v>
      </c>
      <c r="AE58" s="38">
        <v>0</v>
      </c>
    </row>
    <row r="59" spans="1:31" s="38" customFormat="1" ht="15.95" customHeight="1" x14ac:dyDescent="0.2">
      <c r="A59" s="115" t="s">
        <v>74</v>
      </c>
      <c r="B59" s="116" t="s">
        <v>16</v>
      </c>
      <c r="C59" s="116"/>
      <c r="D59" s="116" t="s">
        <v>20</v>
      </c>
      <c r="E59" s="116">
        <f>Stats!$D$3*2+MAX(0,Stats!$B$3-15)</f>
        <v>22</v>
      </c>
      <c r="F59" s="116">
        <v>1</v>
      </c>
      <c r="G59" s="116">
        <v>1</v>
      </c>
      <c r="H59" s="116">
        <v>-4</v>
      </c>
      <c r="I59" s="116">
        <v>10</v>
      </c>
      <c r="J59" s="107" t="s">
        <v>283</v>
      </c>
      <c r="K59" s="46"/>
      <c r="L59" s="253"/>
      <c r="N59" s="112" t="s">
        <v>13</v>
      </c>
      <c r="O59" s="112"/>
      <c r="P59" s="112" t="str">
        <f t="shared" ref="P59:P110" si="12">$P$57</f>
        <v>Un</v>
      </c>
      <c r="Q59" s="112"/>
      <c r="R59" s="46"/>
      <c r="U59" s="38">
        <v>150</v>
      </c>
      <c r="V59" s="38">
        <v>300</v>
      </c>
      <c r="W59" s="38">
        <v>450</v>
      </c>
      <c r="X59" s="38">
        <v>600</v>
      </c>
      <c r="Y59" s="38">
        <v>800</v>
      </c>
      <c r="Z59" s="38">
        <v>900</v>
      </c>
      <c r="AA59" s="38">
        <v>1500</v>
      </c>
      <c r="AB59" s="38">
        <v>3000</v>
      </c>
      <c r="AC59" s="38">
        <v>4000</v>
      </c>
      <c r="AD59" s="38">
        <v>5000</v>
      </c>
      <c r="AE59" s="38">
        <v>4000</v>
      </c>
    </row>
    <row r="60" spans="1:31" s="38" customFormat="1" ht="15.95" customHeight="1" x14ac:dyDescent="0.2">
      <c r="A60" s="115" t="s">
        <v>75</v>
      </c>
      <c r="B60" s="116" t="s">
        <v>16</v>
      </c>
      <c r="C60" s="116">
        <v>7</v>
      </c>
      <c r="D60" s="116" t="s">
        <v>10</v>
      </c>
      <c r="E60" s="116">
        <v>50</v>
      </c>
      <c r="F60" s="116">
        <v>14</v>
      </c>
      <c r="G60" s="116">
        <v>10</v>
      </c>
      <c r="H60" s="116">
        <v>2</v>
      </c>
      <c r="I60" s="116">
        <v>5</v>
      </c>
      <c r="J60" s="107" t="s">
        <v>283</v>
      </c>
      <c r="K60" s="46">
        <v>3</v>
      </c>
      <c r="L60" s="253"/>
      <c r="N60" s="112" t="s">
        <v>15</v>
      </c>
      <c r="O60" s="112"/>
      <c r="P60" s="112" t="str">
        <f t="shared" si="12"/>
        <v>Un</v>
      </c>
      <c r="Q60" s="112"/>
      <c r="R60" s="46"/>
      <c r="U60" s="38">
        <v>25</v>
      </c>
      <c r="V60" s="38">
        <v>75</v>
      </c>
      <c r="W60" s="38">
        <v>150</v>
      </c>
      <c r="X60" s="38">
        <v>300</v>
      </c>
      <c r="Y60" s="38">
        <v>500</v>
      </c>
      <c r="Z60" s="38">
        <v>700</v>
      </c>
      <c r="AA60" s="38">
        <v>0</v>
      </c>
      <c r="AB60" s="38">
        <v>0</v>
      </c>
      <c r="AC60" s="38">
        <v>0</v>
      </c>
      <c r="AD60" s="38">
        <v>0</v>
      </c>
      <c r="AE60" s="38">
        <v>0</v>
      </c>
    </row>
    <row r="61" spans="1:31" s="38" customFormat="1" ht="15.95" customHeight="1" x14ac:dyDescent="0.2">
      <c r="A61" s="115" t="s">
        <v>76</v>
      </c>
      <c r="B61" s="116" t="s">
        <v>16</v>
      </c>
      <c r="C61" s="116">
        <v>6</v>
      </c>
      <c r="D61" s="116" t="s">
        <v>10</v>
      </c>
      <c r="E61" s="116">
        <v>45</v>
      </c>
      <c r="F61" s="116">
        <v>15</v>
      </c>
      <c r="G61" s="116">
        <v>13</v>
      </c>
      <c r="H61" s="116">
        <v>3</v>
      </c>
      <c r="I61" s="116">
        <v>5</v>
      </c>
      <c r="J61" s="107" t="s">
        <v>283</v>
      </c>
      <c r="K61" s="46">
        <v>4</v>
      </c>
      <c r="L61" s="253"/>
      <c r="N61" s="112" t="s">
        <v>22</v>
      </c>
      <c r="O61" s="112"/>
      <c r="P61" s="112" t="str">
        <f t="shared" si="12"/>
        <v>Un</v>
      </c>
      <c r="Q61" s="112"/>
      <c r="R61" s="46"/>
      <c r="U61" s="38">
        <v>50</v>
      </c>
      <c r="V61" s="38">
        <v>50</v>
      </c>
      <c r="W61" s="38">
        <v>100</v>
      </c>
      <c r="X61" s="38">
        <v>200</v>
      </c>
      <c r="Y61" s="38">
        <v>400</v>
      </c>
      <c r="Z61" s="38">
        <v>700</v>
      </c>
      <c r="AA61" s="38">
        <v>0</v>
      </c>
      <c r="AB61" s="38">
        <v>0</v>
      </c>
      <c r="AC61" s="38">
        <v>0</v>
      </c>
      <c r="AD61" s="38">
        <v>0</v>
      </c>
      <c r="AE61" s="38">
        <v>0</v>
      </c>
    </row>
    <row r="62" spans="1:31" s="38" customFormat="1" ht="15.95" customHeight="1" x14ac:dyDescent="0.2">
      <c r="A62" s="115" t="s">
        <v>77</v>
      </c>
      <c r="B62" s="116" t="s">
        <v>16</v>
      </c>
      <c r="C62" s="116"/>
      <c r="D62" s="116" t="s">
        <v>18</v>
      </c>
      <c r="E62" s="116">
        <v>45</v>
      </c>
      <c r="F62" s="116">
        <v>17</v>
      </c>
      <c r="G62" s="116">
        <v>13</v>
      </c>
      <c r="H62" s="116">
        <v>4</v>
      </c>
      <c r="I62" s="116">
        <v>5</v>
      </c>
      <c r="J62" s="107" t="s">
        <v>283</v>
      </c>
      <c r="K62" s="46">
        <v>5</v>
      </c>
      <c r="L62" s="252" t="s">
        <v>607</v>
      </c>
      <c r="N62" s="112" t="s">
        <v>24</v>
      </c>
      <c r="O62" s="112"/>
      <c r="P62" s="112" t="str">
        <f t="shared" si="12"/>
        <v>Un</v>
      </c>
      <c r="Q62" s="112"/>
      <c r="R62" s="46"/>
      <c r="U62" s="38">
        <v>75</v>
      </c>
      <c r="V62" s="38">
        <v>75</v>
      </c>
      <c r="W62" s="38">
        <v>150</v>
      </c>
      <c r="X62" s="38">
        <v>200</v>
      </c>
      <c r="Y62" s="38">
        <v>500</v>
      </c>
      <c r="Z62" s="38">
        <v>1000</v>
      </c>
      <c r="AA62" s="38">
        <v>0</v>
      </c>
      <c r="AB62" s="38">
        <v>0</v>
      </c>
      <c r="AC62" s="38">
        <v>0</v>
      </c>
      <c r="AD62" s="38">
        <v>0</v>
      </c>
      <c r="AE62" s="38">
        <v>0</v>
      </c>
    </row>
    <row r="63" spans="1:31" s="38" customFormat="1" ht="15.95" customHeight="1" x14ac:dyDescent="0.2">
      <c r="A63" s="115" t="s">
        <v>78</v>
      </c>
      <c r="B63" s="116" t="s">
        <v>23</v>
      </c>
      <c r="C63" s="116"/>
      <c r="D63" s="116" t="s">
        <v>20</v>
      </c>
      <c r="E63" s="116">
        <v>45</v>
      </c>
      <c r="F63" s="116">
        <v>10</v>
      </c>
      <c r="G63" s="116">
        <v>16</v>
      </c>
      <c r="H63" s="116">
        <v>-3</v>
      </c>
      <c r="I63" s="116">
        <v>10</v>
      </c>
      <c r="J63" s="107" t="s">
        <v>283</v>
      </c>
      <c r="K63" s="46">
        <v>3</v>
      </c>
      <c r="L63" s="253"/>
      <c r="N63" s="112" t="s">
        <v>25</v>
      </c>
      <c r="O63" s="112"/>
      <c r="P63" s="112" t="str">
        <f t="shared" si="12"/>
        <v>Un</v>
      </c>
      <c r="Q63" s="112"/>
      <c r="R63" s="46"/>
      <c r="U63" s="38">
        <v>150</v>
      </c>
      <c r="V63" s="38">
        <v>150</v>
      </c>
      <c r="W63" s="38">
        <v>500</v>
      </c>
      <c r="X63" s="38">
        <v>900</v>
      </c>
      <c r="Y63" s="38">
        <v>1400</v>
      </c>
      <c r="Z63" s="38">
        <v>2000</v>
      </c>
      <c r="AA63" s="38">
        <v>3500</v>
      </c>
      <c r="AB63" s="38">
        <v>4000</v>
      </c>
      <c r="AC63" s="38">
        <v>5000</v>
      </c>
      <c r="AD63" s="38">
        <v>5000</v>
      </c>
      <c r="AE63" s="38">
        <v>6000</v>
      </c>
    </row>
    <row r="64" spans="1:31" s="38" customFormat="1" ht="15.95" customHeight="1" x14ac:dyDescent="0.2">
      <c r="A64" s="115" t="s">
        <v>79</v>
      </c>
      <c r="B64" s="116" t="s">
        <v>16</v>
      </c>
      <c r="C64" s="116"/>
      <c r="D64" s="116" t="s">
        <v>20</v>
      </c>
      <c r="E64" s="116">
        <f>Stats!$D$3*2+MAX(0,Stats!$B$3-15)</f>
        <v>22</v>
      </c>
      <c r="F64" s="116">
        <v>1</v>
      </c>
      <c r="G64" s="116">
        <v>1</v>
      </c>
      <c r="H64" s="116">
        <v>0</v>
      </c>
      <c r="I64" s="116">
        <v>10</v>
      </c>
      <c r="J64" s="107" t="s">
        <v>283</v>
      </c>
      <c r="K64" s="46"/>
      <c r="L64" s="253"/>
      <c r="N64" s="112" t="s">
        <v>31</v>
      </c>
      <c r="O64" s="112"/>
      <c r="P64" s="112" t="str">
        <f t="shared" si="12"/>
        <v>Un</v>
      </c>
      <c r="Q64" s="112"/>
      <c r="R64" s="46"/>
      <c r="U64" s="38">
        <v>225</v>
      </c>
      <c r="V64" s="38">
        <v>450</v>
      </c>
      <c r="W64" s="38">
        <v>675</v>
      </c>
      <c r="X64" s="38">
        <v>900</v>
      </c>
      <c r="Y64" s="38">
        <v>1200</v>
      </c>
      <c r="Z64" s="38">
        <v>1350</v>
      </c>
      <c r="AA64" s="38">
        <v>2250</v>
      </c>
      <c r="AB64" s="38">
        <v>4500</v>
      </c>
      <c r="AC64" s="38">
        <v>6000</v>
      </c>
      <c r="AD64" s="38">
        <v>7500</v>
      </c>
      <c r="AE64" s="38">
        <v>6000</v>
      </c>
    </row>
    <row r="65" spans="1:31" s="38" customFormat="1" ht="15.95" customHeight="1" x14ac:dyDescent="0.2">
      <c r="A65" s="115" t="s">
        <v>80</v>
      </c>
      <c r="B65" s="116" t="s">
        <v>81</v>
      </c>
      <c r="C65" s="116"/>
      <c r="D65" s="116" t="s">
        <v>81</v>
      </c>
      <c r="E65" s="116">
        <v>0</v>
      </c>
      <c r="F65" s="116">
        <v>0</v>
      </c>
      <c r="G65" s="116">
        <v>0</v>
      </c>
      <c r="H65" s="116">
        <v>0</v>
      </c>
      <c r="I65" s="116">
        <v>10</v>
      </c>
      <c r="J65" s="107" t="s">
        <v>283</v>
      </c>
      <c r="K65" s="46"/>
      <c r="L65" s="253"/>
      <c r="N65" s="112" t="s">
        <v>32</v>
      </c>
      <c r="O65" s="112"/>
      <c r="P65" s="112" t="str">
        <f t="shared" si="12"/>
        <v>Un</v>
      </c>
      <c r="Q65" s="112"/>
      <c r="R65" s="46"/>
      <c r="U65" s="38">
        <v>50</v>
      </c>
      <c r="V65" s="38">
        <v>50</v>
      </c>
      <c r="W65" s="38">
        <v>100</v>
      </c>
      <c r="X65" s="38">
        <v>200</v>
      </c>
      <c r="Y65" s="38">
        <v>400</v>
      </c>
      <c r="Z65" s="38">
        <v>1100</v>
      </c>
      <c r="AA65" s="38">
        <v>1500</v>
      </c>
      <c r="AB65" s="38">
        <v>3000</v>
      </c>
      <c r="AC65" s="38">
        <v>3000</v>
      </c>
      <c r="AD65" s="38">
        <v>3000</v>
      </c>
      <c r="AE65" s="38">
        <v>4000</v>
      </c>
    </row>
    <row r="66" spans="1:31" s="38" customFormat="1" ht="15.95" customHeight="1" x14ac:dyDescent="0.2">
      <c r="A66" s="115" t="s">
        <v>82</v>
      </c>
      <c r="B66" s="116" t="s">
        <v>81</v>
      </c>
      <c r="C66" s="116"/>
      <c r="D66" s="116" t="s">
        <v>81</v>
      </c>
      <c r="E66" s="116">
        <v>0</v>
      </c>
      <c r="F66" s="116">
        <v>0</v>
      </c>
      <c r="G66" s="116">
        <v>0</v>
      </c>
      <c r="H66" s="116">
        <v>0</v>
      </c>
      <c r="I66" s="116">
        <v>10</v>
      </c>
      <c r="J66" s="107" t="s">
        <v>283</v>
      </c>
      <c r="K66" s="46"/>
      <c r="L66" s="253"/>
      <c r="N66" s="112" t="s">
        <v>33</v>
      </c>
      <c r="O66" s="112"/>
      <c r="P66" s="112" t="str">
        <f t="shared" si="12"/>
        <v>Un</v>
      </c>
      <c r="Q66" s="112"/>
      <c r="R66" s="46"/>
      <c r="U66" s="38">
        <v>50</v>
      </c>
      <c r="V66" s="38">
        <v>50</v>
      </c>
      <c r="W66" s="38">
        <v>100</v>
      </c>
      <c r="X66" s="38">
        <v>200</v>
      </c>
      <c r="Y66" s="38">
        <v>400</v>
      </c>
      <c r="Z66" s="38">
        <v>1100</v>
      </c>
      <c r="AA66" s="38">
        <v>1500</v>
      </c>
      <c r="AB66" s="38">
        <v>3000</v>
      </c>
      <c r="AC66" s="38">
        <v>3000</v>
      </c>
      <c r="AD66" s="38">
        <v>3000</v>
      </c>
      <c r="AE66" s="38">
        <v>4000</v>
      </c>
    </row>
    <row r="67" spans="1:31" s="38" customFormat="1" ht="15.95" customHeight="1" x14ac:dyDescent="0.2">
      <c r="A67" s="115" t="s">
        <v>83</v>
      </c>
      <c r="B67" s="116" t="s">
        <v>16</v>
      </c>
      <c r="C67" s="116"/>
      <c r="D67" s="116" t="s">
        <v>20</v>
      </c>
      <c r="E67" s="116">
        <f>Stats!$D$3*2+MAX(0,Stats!$B$3-15)</f>
        <v>22</v>
      </c>
      <c r="F67" s="116">
        <v>1</v>
      </c>
      <c r="G67" s="116">
        <v>1</v>
      </c>
      <c r="H67" s="116">
        <v>-2</v>
      </c>
      <c r="I67" s="116">
        <v>10</v>
      </c>
      <c r="J67" s="107" t="s">
        <v>283</v>
      </c>
      <c r="K67" s="46"/>
      <c r="L67" s="253"/>
      <c r="N67" s="112" t="s">
        <v>34</v>
      </c>
      <c r="O67" s="112"/>
      <c r="P67" s="112" t="str">
        <f t="shared" si="12"/>
        <v>Un</v>
      </c>
      <c r="Q67" s="112"/>
      <c r="R67" s="46"/>
      <c r="U67" s="38">
        <v>150</v>
      </c>
      <c r="V67" s="38">
        <v>300</v>
      </c>
      <c r="W67" s="38">
        <v>450</v>
      </c>
      <c r="X67" s="38">
        <v>600</v>
      </c>
      <c r="Y67" s="38">
        <v>800</v>
      </c>
      <c r="Z67" s="38">
        <v>900</v>
      </c>
      <c r="AA67" s="38">
        <v>1500</v>
      </c>
      <c r="AB67" s="38">
        <v>3000</v>
      </c>
      <c r="AC67" s="38">
        <v>4000</v>
      </c>
      <c r="AD67" s="38">
        <v>5000</v>
      </c>
      <c r="AE67" s="38">
        <v>4000</v>
      </c>
    </row>
    <row r="68" spans="1:31" s="38" customFormat="1" ht="15.95" customHeight="1" x14ac:dyDescent="0.2">
      <c r="A68" s="115" t="s">
        <v>84</v>
      </c>
      <c r="B68" s="116" t="s">
        <v>81</v>
      </c>
      <c r="C68" s="116"/>
      <c r="D68" s="116" t="s">
        <v>81</v>
      </c>
      <c r="E68" s="116">
        <v>0</v>
      </c>
      <c r="F68" s="116">
        <v>0</v>
      </c>
      <c r="G68" s="116">
        <v>0</v>
      </c>
      <c r="H68" s="116">
        <v>0</v>
      </c>
      <c r="I68" s="116">
        <v>10</v>
      </c>
      <c r="J68" s="107" t="s">
        <v>283</v>
      </c>
      <c r="K68" s="46"/>
      <c r="L68" s="253"/>
      <c r="N68" s="112" t="s">
        <v>35</v>
      </c>
      <c r="O68" s="112"/>
      <c r="P68" s="112" t="str">
        <f t="shared" si="12"/>
        <v>Un</v>
      </c>
      <c r="Q68" s="112"/>
      <c r="R68" s="46"/>
      <c r="U68" s="38">
        <v>50</v>
      </c>
      <c r="V68" s="38">
        <v>50</v>
      </c>
      <c r="W68" s="38">
        <v>100</v>
      </c>
      <c r="X68" s="38">
        <v>200</v>
      </c>
      <c r="Y68" s="38">
        <v>400</v>
      </c>
      <c r="Z68" s="38">
        <v>1100</v>
      </c>
      <c r="AA68" s="38">
        <v>1500</v>
      </c>
      <c r="AB68" s="38">
        <v>3000</v>
      </c>
      <c r="AC68" s="38">
        <v>3000</v>
      </c>
      <c r="AD68" s="38">
        <v>3000</v>
      </c>
      <c r="AE68" s="38">
        <v>4000</v>
      </c>
    </row>
    <row r="69" spans="1:31" s="38" customFormat="1" ht="15.95" customHeight="1" x14ac:dyDescent="0.2">
      <c r="A69" s="115" t="s">
        <v>85</v>
      </c>
      <c r="B69" s="116" t="s">
        <v>16</v>
      </c>
      <c r="C69" s="116"/>
      <c r="D69" s="116" t="s">
        <v>18</v>
      </c>
      <c r="E69" s="116">
        <v>55</v>
      </c>
      <c r="F69" s="116">
        <v>12</v>
      </c>
      <c r="G69" s="116">
        <v>16</v>
      </c>
      <c r="H69" s="116">
        <v>2</v>
      </c>
      <c r="I69" s="116">
        <v>9</v>
      </c>
      <c r="J69" s="187" t="str">
        <f>J41</f>
        <v>Un</v>
      </c>
      <c r="K69" s="46">
        <v>3</v>
      </c>
      <c r="L69" s="253" t="s">
        <v>608</v>
      </c>
      <c r="N69" s="112" t="s">
        <v>36</v>
      </c>
      <c r="O69" s="112"/>
      <c r="P69" s="112" t="str">
        <f t="shared" si="12"/>
        <v>Un</v>
      </c>
      <c r="Q69" s="112"/>
      <c r="R69" s="46"/>
      <c r="U69" s="38">
        <v>0</v>
      </c>
      <c r="V69" s="38">
        <v>0</v>
      </c>
      <c r="W69" s="38">
        <v>0</v>
      </c>
      <c r="X69" s="38">
        <v>0</v>
      </c>
      <c r="Y69" s="38">
        <v>0</v>
      </c>
      <c r="Z69" s="38">
        <v>0</v>
      </c>
      <c r="AA69" s="38">
        <v>0</v>
      </c>
      <c r="AB69" s="38">
        <v>0</v>
      </c>
      <c r="AC69" s="38">
        <v>0</v>
      </c>
      <c r="AD69" s="38">
        <v>0</v>
      </c>
      <c r="AE69" s="38">
        <v>0</v>
      </c>
    </row>
    <row r="70" spans="1:31" s="38" customFormat="1" ht="15.95" customHeight="1" x14ac:dyDescent="0.2">
      <c r="A70" s="115" t="s">
        <v>86</v>
      </c>
      <c r="B70" s="116" t="s">
        <v>16</v>
      </c>
      <c r="C70" s="116"/>
      <c r="D70" s="116" t="s">
        <v>18</v>
      </c>
      <c r="E70" s="116">
        <v>55</v>
      </c>
      <c r="F70" s="116">
        <v>10</v>
      </c>
      <c r="G70" s="116">
        <v>16</v>
      </c>
      <c r="H70" s="116">
        <v>0</v>
      </c>
      <c r="I70" s="116">
        <v>9</v>
      </c>
      <c r="J70" s="107" t="s">
        <v>283</v>
      </c>
      <c r="K70" s="46">
        <v>1</v>
      </c>
      <c r="L70" s="253" t="s">
        <v>607</v>
      </c>
      <c r="N70" s="112" t="s">
        <v>37</v>
      </c>
      <c r="O70" s="112"/>
      <c r="P70" s="112" t="str">
        <f t="shared" si="12"/>
        <v>Un</v>
      </c>
      <c r="Q70" s="112"/>
      <c r="R70" s="46"/>
      <c r="U70" s="38">
        <v>75</v>
      </c>
      <c r="V70" s="38">
        <v>75</v>
      </c>
      <c r="W70" s="38">
        <v>150</v>
      </c>
      <c r="X70" s="38">
        <v>200</v>
      </c>
      <c r="Y70" s="38">
        <v>500</v>
      </c>
      <c r="Z70" s="38">
        <v>1000</v>
      </c>
      <c r="AA70" s="38">
        <v>2000</v>
      </c>
      <c r="AB70" s="38">
        <v>4000</v>
      </c>
      <c r="AC70" s="38">
        <v>4000</v>
      </c>
      <c r="AD70" s="38">
        <v>3000</v>
      </c>
      <c r="AE70" s="38">
        <v>0</v>
      </c>
    </row>
    <row r="71" spans="1:31" s="38" customFormat="1" ht="15.95" customHeight="1" x14ac:dyDescent="0.2">
      <c r="A71" s="115" t="s">
        <v>87</v>
      </c>
      <c r="B71" s="116" t="s">
        <v>9</v>
      </c>
      <c r="C71" s="116"/>
      <c r="D71" s="116" t="s">
        <v>18</v>
      </c>
      <c r="E71" s="116">
        <v>45</v>
      </c>
      <c r="F71" s="116">
        <v>15</v>
      </c>
      <c r="G71" s="116">
        <v>17</v>
      </c>
      <c r="H71" s="116">
        <v>4</v>
      </c>
      <c r="I71" s="116">
        <v>10</v>
      </c>
      <c r="J71" s="107" t="s">
        <v>283</v>
      </c>
      <c r="K71" s="46">
        <v>3</v>
      </c>
      <c r="L71" s="253" t="s">
        <v>608</v>
      </c>
      <c r="N71" s="112" t="s">
        <v>40</v>
      </c>
      <c r="O71" s="112"/>
      <c r="P71" s="112" t="str">
        <f t="shared" si="12"/>
        <v>Un</v>
      </c>
      <c r="Q71" s="112"/>
      <c r="R71" s="46"/>
      <c r="U71" s="38">
        <v>200</v>
      </c>
      <c r="V71" s="38">
        <v>200</v>
      </c>
      <c r="W71" s="38">
        <v>200</v>
      </c>
      <c r="X71" s="38">
        <v>200</v>
      </c>
      <c r="Y71" s="38">
        <v>200</v>
      </c>
      <c r="Z71" s="38">
        <v>500</v>
      </c>
      <c r="AA71" s="38">
        <v>500</v>
      </c>
      <c r="AB71" s="38">
        <v>2000</v>
      </c>
      <c r="AC71" s="38">
        <v>4000</v>
      </c>
      <c r="AD71" s="38">
        <v>4000</v>
      </c>
      <c r="AE71" s="38">
        <v>3000</v>
      </c>
    </row>
    <row r="72" spans="1:31" s="38" customFormat="1" ht="15.95" customHeight="1" x14ac:dyDescent="0.2">
      <c r="A72" s="115" t="s">
        <v>88</v>
      </c>
      <c r="B72" s="116" t="s">
        <v>16</v>
      </c>
      <c r="C72" s="116"/>
      <c r="D72" s="116" t="s">
        <v>20</v>
      </c>
      <c r="E72" s="116">
        <v>35</v>
      </c>
      <c r="F72" s="116">
        <v>12</v>
      </c>
      <c r="G72" s="116">
        <v>16</v>
      </c>
      <c r="H72" s="116">
        <v>-1</v>
      </c>
      <c r="I72" s="116">
        <v>9</v>
      </c>
      <c r="J72" s="107" t="s">
        <v>283</v>
      </c>
      <c r="K72" s="46">
        <v>2</v>
      </c>
      <c r="L72" s="253"/>
      <c r="N72" s="112" t="s">
        <v>44</v>
      </c>
      <c r="O72" s="112"/>
      <c r="P72" s="112" t="str">
        <f t="shared" si="12"/>
        <v>Un</v>
      </c>
      <c r="Q72" s="112"/>
      <c r="R72" s="46"/>
      <c r="U72" s="38">
        <v>30</v>
      </c>
      <c r="V72" s="38">
        <v>40</v>
      </c>
      <c r="W72" s="38">
        <v>50</v>
      </c>
      <c r="X72" s="38">
        <v>100</v>
      </c>
      <c r="Y72" s="38">
        <v>200</v>
      </c>
      <c r="Z72" s="38">
        <v>400</v>
      </c>
      <c r="AA72" s="38">
        <v>700</v>
      </c>
      <c r="AB72" s="38">
        <v>1500</v>
      </c>
      <c r="AC72" s="38">
        <v>3000</v>
      </c>
      <c r="AD72" s="38">
        <v>6000</v>
      </c>
      <c r="AE72" s="38">
        <v>0</v>
      </c>
    </row>
    <row r="73" spans="1:31" s="38" customFormat="1" ht="15.95" customHeight="1" x14ac:dyDescent="0.2">
      <c r="A73" s="115" t="s">
        <v>89</v>
      </c>
      <c r="B73" s="116" t="s">
        <v>9</v>
      </c>
      <c r="C73" s="116"/>
      <c r="D73" s="116" t="s">
        <v>18</v>
      </c>
      <c r="E73" s="116">
        <v>45</v>
      </c>
      <c r="F73" s="116">
        <v>11</v>
      </c>
      <c r="G73" s="116">
        <v>17</v>
      </c>
      <c r="H73" s="116">
        <v>2</v>
      </c>
      <c r="I73" s="116">
        <v>9</v>
      </c>
      <c r="J73" s="107" t="s">
        <v>283</v>
      </c>
      <c r="K73" s="46">
        <v>2</v>
      </c>
      <c r="L73" s="253"/>
      <c r="N73" s="112" t="s">
        <v>47</v>
      </c>
      <c r="O73" s="112"/>
      <c r="P73" s="112" t="str">
        <f t="shared" si="12"/>
        <v>Un</v>
      </c>
      <c r="Q73" s="112"/>
      <c r="R73" s="46"/>
      <c r="U73" s="38">
        <v>75</v>
      </c>
      <c r="V73" s="38">
        <v>75</v>
      </c>
      <c r="W73" s="38">
        <v>150</v>
      </c>
      <c r="X73" s="38">
        <v>200</v>
      </c>
      <c r="Y73" s="38">
        <v>500</v>
      </c>
      <c r="Z73" s="38">
        <v>1000</v>
      </c>
      <c r="AA73" s="38">
        <v>2000</v>
      </c>
      <c r="AB73" s="38">
        <v>4000</v>
      </c>
      <c r="AC73" s="38">
        <v>4000</v>
      </c>
      <c r="AD73" s="38">
        <v>3000</v>
      </c>
      <c r="AE73" s="38">
        <v>0</v>
      </c>
    </row>
    <row r="74" spans="1:31" s="38" customFormat="1" ht="15.95" customHeight="1" x14ac:dyDescent="0.2">
      <c r="A74" s="115" t="s">
        <v>90</v>
      </c>
      <c r="B74" s="116" t="s">
        <v>9</v>
      </c>
      <c r="C74" s="116">
        <v>2</v>
      </c>
      <c r="D74" s="116" t="s">
        <v>27</v>
      </c>
      <c r="E74" s="116">
        <v>40</v>
      </c>
      <c r="F74" s="116">
        <v>14</v>
      </c>
      <c r="G74" s="116">
        <v>19</v>
      </c>
      <c r="H74" s="116">
        <v>2</v>
      </c>
      <c r="I74" s="116">
        <v>10</v>
      </c>
      <c r="J74" s="107" t="s">
        <v>283</v>
      </c>
      <c r="K74" s="46">
        <v>6</v>
      </c>
      <c r="L74" s="253" t="s">
        <v>608</v>
      </c>
      <c r="N74" s="112" t="s">
        <v>48</v>
      </c>
      <c r="O74" s="112"/>
      <c r="P74" s="112" t="str">
        <f t="shared" si="12"/>
        <v>Un</v>
      </c>
      <c r="Q74" s="112"/>
      <c r="R74" s="46"/>
      <c r="U74" s="38">
        <v>150</v>
      </c>
      <c r="V74" s="38">
        <v>150</v>
      </c>
      <c r="W74" s="38">
        <v>500</v>
      </c>
      <c r="X74" s="38">
        <v>900</v>
      </c>
      <c r="Y74" s="38">
        <v>1400</v>
      </c>
      <c r="Z74" s="38">
        <v>2000</v>
      </c>
      <c r="AA74" s="38">
        <v>3500</v>
      </c>
      <c r="AB74" s="38">
        <v>4000</v>
      </c>
      <c r="AC74" s="38">
        <v>5000</v>
      </c>
      <c r="AD74" s="38">
        <v>5000</v>
      </c>
      <c r="AE74" s="38">
        <v>6000</v>
      </c>
    </row>
    <row r="75" spans="1:31" s="38" customFormat="1" ht="15.95" customHeight="1" x14ac:dyDescent="0.2">
      <c r="A75" s="115" t="s">
        <v>91</v>
      </c>
      <c r="B75" s="116" t="s">
        <v>9</v>
      </c>
      <c r="C75" s="116"/>
      <c r="D75" s="116" t="s">
        <v>18</v>
      </c>
      <c r="E75" s="116">
        <v>55</v>
      </c>
      <c r="F75" s="116">
        <v>14</v>
      </c>
      <c r="G75" s="116">
        <v>18</v>
      </c>
      <c r="H75" s="116">
        <v>4</v>
      </c>
      <c r="I75" s="116">
        <v>9</v>
      </c>
      <c r="J75" s="107" t="s">
        <v>283</v>
      </c>
      <c r="K75" s="46">
        <v>5</v>
      </c>
      <c r="L75" s="253" t="s">
        <v>608</v>
      </c>
      <c r="N75" s="110" t="s">
        <v>58</v>
      </c>
      <c r="O75" s="112"/>
      <c r="P75" s="112" t="str">
        <f t="shared" si="12"/>
        <v>Un</v>
      </c>
      <c r="Q75" s="112"/>
      <c r="R75" s="46"/>
      <c r="U75" s="38">
        <v>50</v>
      </c>
      <c r="V75" s="38">
        <v>50</v>
      </c>
      <c r="W75" s="38">
        <v>100</v>
      </c>
      <c r="X75" s="38">
        <v>200</v>
      </c>
      <c r="Y75" s="38">
        <v>200</v>
      </c>
      <c r="Z75" s="38">
        <v>200</v>
      </c>
      <c r="AA75" s="38">
        <v>500</v>
      </c>
      <c r="AB75" s="38">
        <v>800</v>
      </c>
      <c r="AC75" s="38">
        <v>1500</v>
      </c>
      <c r="AD75" s="38">
        <v>3000</v>
      </c>
      <c r="AE75" s="38">
        <v>0</v>
      </c>
    </row>
    <row r="76" spans="1:31" s="38" customFormat="1" ht="15.95" customHeight="1" x14ac:dyDescent="0.2">
      <c r="A76" s="115" t="s">
        <v>92</v>
      </c>
      <c r="B76" s="116" t="s">
        <v>9</v>
      </c>
      <c r="C76" s="116"/>
      <c r="D76" s="116" t="s">
        <v>18</v>
      </c>
      <c r="E76" s="116">
        <v>50</v>
      </c>
      <c r="F76" s="116">
        <v>13</v>
      </c>
      <c r="G76" s="116">
        <v>17</v>
      </c>
      <c r="H76" s="116">
        <v>3</v>
      </c>
      <c r="I76" s="116">
        <v>9</v>
      </c>
      <c r="J76" s="107" t="s">
        <v>283</v>
      </c>
      <c r="K76" s="46">
        <v>3</v>
      </c>
      <c r="L76" s="253" t="s">
        <v>607</v>
      </c>
      <c r="N76" s="110" t="s">
        <v>60</v>
      </c>
      <c r="O76" s="112"/>
      <c r="P76" s="112" t="str">
        <f t="shared" si="12"/>
        <v>Un</v>
      </c>
      <c r="Q76" s="112"/>
      <c r="R76" s="46"/>
      <c r="U76" s="38">
        <v>75</v>
      </c>
      <c r="V76" s="38">
        <v>75</v>
      </c>
      <c r="W76" s="38">
        <v>150</v>
      </c>
      <c r="X76" s="38">
        <v>200</v>
      </c>
      <c r="Y76" s="38">
        <v>500</v>
      </c>
      <c r="Z76" s="38">
        <v>1000</v>
      </c>
      <c r="AA76" s="38">
        <v>2000</v>
      </c>
      <c r="AB76" s="38">
        <v>4000</v>
      </c>
      <c r="AC76" s="38">
        <v>4000</v>
      </c>
      <c r="AD76" s="38">
        <v>3000</v>
      </c>
      <c r="AE76" s="38">
        <v>0</v>
      </c>
    </row>
    <row r="77" spans="1:31" s="38" customFormat="1" ht="15.95" customHeight="1" x14ac:dyDescent="0.2">
      <c r="A77" s="115" t="s">
        <v>93</v>
      </c>
      <c r="B77" s="116" t="s">
        <v>9</v>
      </c>
      <c r="C77" s="116"/>
      <c r="D77" s="116" t="s">
        <v>18</v>
      </c>
      <c r="E77" s="116">
        <v>50</v>
      </c>
      <c r="F77" s="116">
        <v>18</v>
      </c>
      <c r="G77" s="116">
        <v>17</v>
      </c>
      <c r="H77" s="116">
        <v>6</v>
      </c>
      <c r="I77" s="116">
        <v>8</v>
      </c>
      <c r="J77" s="107" t="s">
        <v>283</v>
      </c>
      <c r="K77" s="46">
        <v>5</v>
      </c>
      <c r="L77" s="253" t="s">
        <v>608</v>
      </c>
      <c r="N77" s="110" t="s">
        <v>62</v>
      </c>
      <c r="O77" s="112"/>
      <c r="P77" s="112" t="str">
        <f t="shared" si="12"/>
        <v>Un</v>
      </c>
      <c r="Q77" s="112"/>
      <c r="R77" s="46"/>
      <c r="U77" s="38">
        <v>100</v>
      </c>
      <c r="V77" s="38">
        <v>100</v>
      </c>
      <c r="W77" s="38">
        <v>200</v>
      </c>
      <c r="X77" s="38">
        <v>400</v>
      </c>
      <c r="Y77" s="38">
        <v>700</v>
      </c>
      <c r="Z77" s="38">
        <v>1500</v>
      </c>
      <c r="AA77" s="38">
        <v>3000</v>
      </c>
      <c r="AB77" s="38">
        <v>3000</v>
      </c>
      <c r="AC77" s="38">
        <v>3000</v>
      </c>
      <c r="AD77" s="38">
        <v>0</v>
      </c>
      <c r="AE77" s="38">
        <v>0</v>
      </c>
    </row>
    <row r="78" spans="1:31" s="38" customFormat="1" ht="15.95" customHeight="1" x14ac:dyDescent="0.2">
      <c r="A78" s="115" t="s">
        <v>94</v>
      </c>
      <c r="B78" s="116" t="s">
        <v>16</v>
      </c>
      <c r="C78" s="116"/>
      <c r="D78" s="116" t="s">
        <v>18</v>
      </c>
      <c r="E78" s="116">
        <v>45</v>
      </c>
      <c r="F78" s="116">
        <v>14</v>
      </c>
      <c r="G78" s="116">
        <v>17</v>
      </c>
      <c r="H78" s="116">
        <v>1</v>
      </c>
      <c r="I78" s="116">
        <v>8</v>
      </c>
      <c r="J78" s="107" t="s">
        <v>283</v>
      </c>
      <c r="K78" s="46">
        <v>3</v>
      </c>
      <c r="L78" s="253" t="s">
        <v>608</v>
      </c>
      <c r="N78" s="110" t="s">
        <v>64</v>
      </c>
      <c r="O78" s="112"/>
      <c r="P78" s="112" t="str">
        <f t="shared" si="12"/>
        <v>Un</v>
      </c>
      <c r="Q78" s="112"/>
      <c r="R78" s="46"/>
      <c r="U78" s="38">
        <v>100</v>
      </c>
      <c r="V78" s="38">
        <v>100</v>
      </c>
      <c r="W78" s="38">
        <v>200</v>
      </c>
      <c r="X78" s="38">
        <v>400</v>
      </c>
      <c r="Y78" s="38">
        <v>700</v>
      </c>
      <c r="Z78" s="38">
        <v>1500</v>
      </c>
      <c r="AA78" s="38">
        <v>3000</v>
      </c>
      <c r="AB78" s="38">
        <v>3000</v>
      </c>
      <c r="AC78" s="38">
        <v>3000</v>
      </c>
      <c r="AD78" s="38">
        <v>0</v>
      </c>
      <c r="AE78" s="38">
        <v>0</v>
      </c>
    </row>
    <row r="79" spans="1:31" s="38" customFormat="1" ht="15.95" customHeight="1" x14ac:dyDescent="0.2">
      <c r="A79" s="115" t="s">
        <v>95</v>
      </c>
      <c r="B79" s="116" t="s">
        <v>96</v>
      </c>
      <c r="C79" s="116">
        <v>6</v>
      </c>
      <c r="D79" s="116" t="s">
        <v>27</v>
      </c>
      <c r="E79" s="116">
        <v>45</v>
      </c>
      <c r="F79" s="116">
        <v>8</v>
      </c>
      <c r="G79" s="116">
        <v>15</v>
      </c>
      <c r="H79" s="116">
        <v>1</v>
      </c>
      <c r="I79" s="116">
        <v>10</v>
      </c>
      <c r="J79" s="107" t="s">
        <v>283</v>
      </c>
      <c r="K79" s="46">
        <v>2</v>
      </c>
      <c r="L79" s="253"/>
      <c r="N79" s="110" t="s">
        <v>65</v>
      </c>
      <c r="O79" s="112"/>
      <c r="P79" s="112" t="str">
        <f t="shared" si="12"/>
        <v>Un</v>
      </c>
      <c r="Q79" s="112"/>
      <c r="R79" s="46"/>
      <c r="U79" s="38">
        <v>50</v>
      </c>
      <c r="V79" s="38">
        <v>50</v>
      </c>
      <c r="W79" s="38">
        <v>100</v>
      </c>
      <c r="X79" s="38">
        <v>200</v>
      </c>
      <c r="Y79" s="38">
        <v>400</v>
      </c>
      <c r="Z79" s="38">
        <v>1100</v>
      </c>
      <c r="AA79" s="38">
        <v>1500</v>
      </c>
      <c r="AB79" s="38">
        <v>3000</v>
      </c>
      <c r="AC79" s="38">
        <v>3000</v>
      </c>
      <c r="AD79" s="38">
        <v>3000</v>
      </c>
      <c r="AE79" s="38">
        <v>4000</v>
      </c>
    </row>
    <row r="80" spans="1:31" s="38" customFormat="1" ht="15.95" customHeight="1" x14ac:dyDescent="0.2">
      <c r="A80" s="115" t="s">
        <v>97</v>
      </c>
      <c r="B80" s="116" t="s">
        <v>23</v>
      </c>
      <c r="C80" s="116">
        <v>12</v>
      </c>
      <c r="D80" s="116" t="s">
        <v>12</v>
      </c>
      <c r="E80" s="116">
        <v>40</v>
      </c>
      <c r="F80" s="116">
        <v>9</v>
      </c>
      <c r="G80" s="116">
        <v>15</v>
      </c>
      <c r="H80" s="116">
        <v>-1</v>
      </c>
      <c r="I80" s="116">
        <v>10</v>
      </c>
      <c r="J80" s="107" t="s">
        <v>283</v>
      </c>
      <c r="K80" s="46">
        <f>2/16</f>
        <v>0.125</v>
      </c>
      <c r="L80" s="253"/>
      <c r="N80" s="110" t="s">
        <v>66</v>
      </c>
      <c r="O80" s="112"/>
      <c r="P80" s="112" t="str">
        <f t="shared" si="12"/>
        <v>Un</v>
      </c>
      <c r="Q80" s="112"/>
      <c r="R80" s="46"/>
      <c r="U80" s="38">
        <v>200</v>
      </c>
      <c r="V80" s="38">
        <v>100</v>
      </c>
      <c r="W80" s="38">
        <v>200</v>
      </c>
      <c r="X80" s="38">
        <v>500</v>
      </c>
      <c r="Y80" s="38">
        <v>1000</v>
      </c>
      <c r="Z80" s="38">
        <v>2000</v>
      </c>
      <c r="AA80" s="38">
        <v>2000</v>
      </c>
      <c r="AB80" s="38">
        <v>2000</v>
      </c>
      <c r="AC80" s="38">
        <v>2000</v>
      </c>
      <c r="AD80" s="38">
        <v>2000</v>
      </c>
      <c r="AE80" s="38">
        <v>2000</v>
      </c>
    </row>
    <row r="81" spans="1:31" s="38" customFormat="1" ht="15.95" customHeight="1" x14ac:dyDescent="0.2">
      <c r="A81" s="115" t="s">
        <v>98</v>
      </c>
      <c r="B81" s="116" t="s">
        <v>23</v>
      </c>
      <c r="C81" s="116">
        <v>8</v>
      </c>
      <c r="D81" s="116" t="s">
        <v>20</v>
      </c>
      <c r="E81" s="116">
        <v>40</v>
      </c>
      <c r="F81" s="116">
        <v>7</v>
      </c>
      <c r="G81" s="116">
        <v>10</v>
      </c>
      <c r="H81" s="116">
        <v>0</v>
      </c>
      <c r="I81" s="116">
        <v>9</v>
      </c>
      <c r="J81" s="187" t="str">
        <f>J12</f>
        <v>Un</v>
      </c>
      <c r="K81" s="46">
        <f>5/8</f>
        <v>0.625</v>
      </c>
      <c r="L81" s="253"/>
      <c r="N81" s="110" t="s">
        <v>68</v>
      </c>
      <c r="O81" s="112"/>
      <c r="P81" s="112" t="str">
        <f t="shared" si="12"/>
        <v>Un</v>
      </c>
      <c r="Q81" s="112"/>
      <c r="R81" s="46"/>
      <c r="U81" s="38">
        <v>0</v>
      </c>
      <c r="V81" s="38">
        <v>0</v>
      </c>
      <c r="W81" s="38">
        <v>0</v>
      </c>
      <c r="X81" s="38">
        <v>0</v>
      </c>
      <c r="Y81" s="38">
        <v>0</v>
      </c>
      <c r="Z81" s="38">
        <v>0</v>
      </c>
      <c r="AA81" s="38">
        <v>0</v>
      </c>
      <c r="AB81" s="38">
        <v>0</v>
      </c>
      <c r="AC81" s="38">
        <v>0</v>
      </c>
      <c r="AD81" s="38">
        <v>0</v>
      </c>
      <c r="AE81" s="38">
        <v>0</v>
      </c>
    </row>
    <row r="82" spans="1:31" s="38" customFormat="1" ht="15.95" customHeight="1" x14ac:dyDescent="0.2">
      <c r="A82" s="115" t="s">
        <v>99</v>
      </c>
      <c r="B82" s="116" t="s">
        <v>23</v>
      </c>
      <c r="C82" s="116">
        <v>6</v>
      </c>
      <c r="D82" s="116" t="s">
        <v>12</v>
      </c>
      <c r="E82" s="116">
        <v>40</v>
      </c>
      <c r="F82" s="116">
        <v>5</v>
      </c>
      <c r="G82" s="116">
        <v>15</v>
      </c>
      <c r="H82" s="116">
        <v>-3</v>
      </c>
      <c r="I82" s="116">
        <v>4</v>
      </c>
      <c r="J82" s="107" t="s">
        <v>283</v>
      </c>
      <c r="K82" s="46">
        <v>1</v>
      </c>
      <c r="L82" s="253"/>
      <c r="N82" s="110" t="s">
        <v>69</v>
      </c>
      <c r="O82" s="112"/>
      <c r="P82" s="112" t="str">
        <f t="shared" si="12"/>
        <v>Un</v>
      </c>
      <c r="Q82" s="112"/>
      <c r="R82" s="46"/>
      <c r="U82" s="38">
        <v>25</v>
      </c>
      <c r="V82" s="38">
        <v>50</v>
      </c>
      <c r="W82" s="38">
        <v>75</v>
      </c>
      <c r="X82" s="38">
        <v>100</v>
      </c>
      <c r="Y82" s="38">
        <v>150</v>
      </c>
      <c r="Z82" s="38">
        <v>0</v>
      </c>
      <c r="AA82" s="38">
        <v>0</v>
      </c>
      <c r="AB82" s="38">
        <v>0</v>
      </c>
      <c r="AC82" s="38">
        <v>0</v>
      </c>
      <c r="AD82" s="38">
        <v>0</v>
      </c>
      <c r="AE82" s="38">
        <v>0</v>
      </c>
    </row>
    <row r="83" spans="1:31" s="38" customFormat="1" ht="15.95" customHeight="1" x14ac:dyDescent="0.2">
      <c r="A83" s="115" t="s">
        <v>100</v>
      </c>
      <c r="B83" s="116" t="s">
        <v>16</v>
      </c>
      <c r="C83" s="116"/>
      <c r="D83" s="116" t="s">
        <v>18</v>
      </c>
      <c r="E83" s="116">
        <v>50</v>
      </c>
      <c r="F83" s="116">
        <v>22</v>
      </c>
      <c r="G83" s="116">
        <v>10</v>
      </c>
      <c r="H83" s="116">
        <v>7</v>
      </c>
      <c r="I83" s="116">
        <v>5</v>
      </c>
      <c r="J83" s="107" t="s">
        <v>283</v>
      </c>
      <c r="K83" s="46">
        <v>8</v>
      </c>
      <c r="L83" s="253" t="s">
        <v>608</v>
      </c>
      <c r="N83" s="110" t="s">
        <v>70</v>
      </c>
      <c r="O83" s="112"/>
      <c r="P83" s="112" t="str">
        <f t="shared" si="12"/>
        <v>Un</v>
      </c>
      <c r="Q83" s="112"/>
      <c r="R83" s="46"/>
      <c r="U83" s="38">
        <v>25</v>
      </c>
      <c r="V83" s="38">
        <v>75</v>
      </c>
      <c r="W83" s="38">
        <v>150</v>
      </c>
      <c r="X83" s="38">
        <v>300</v>
      </c>
      <c r="Y83" s="38">
        <v>500</v>
      </c>
      <c r="Z83" s="38">
        <v>700</v>
      </c>
      <c r="AA83" s="38">
        <v>0</v>
      </c>
      <c r="AB83" s="38">
        <v>0</v>
      </c>
      <c r="AC83" s="38">
        <v>0</v>
      </c>
      <c r="AD83" s="38">
        <v>0</v>
      </c>
      <c r="AE83" s="38">
        <v>0</v>
      </c>
    </row>
    <row r="84" spans="1:31" s="38" customFormat="1" ht="15.95" customHeight="1" x14ac:dyDescent="0.2">
      <c r="A84" s="115" t="s">
        <v>101</v>
      </c>
      <c r="B84" s="116" t="s">
        <v>16</v>
      </c>
      <c r="C84" s="116"/>
      <c r="D84" s="116" t="s">
        <v>20</v>
      </c>
      <c r="E84" s="116">
        <v>50</v>
      </c>
      <c r="F84" s="116">
        <v>14</v>
      </c>
      <c r="G84" s="116">
        <v>15</v>
      </c>
      <c r="H84" s="116">
        <v>0</v>
      </c>
      <c r="I84" s="116">
        <v>5</v>
      </c>
      <c r="J84" s="107" t="s">
        <v>283</v>
      </c>
      <c r="K84" s="46">
        <v>2</v>
      </c>
      <c r="L84" s="253"/>
      <c r="N84" s="110" t="s">
        <v>78</v>
      </c>
      <c r="O84" s="112"/>
      <c r="P84" s="112" t="str">
        <f t="shared" si="12"/>
        <v>Un</v>
      </c>
      <c r="Q84" s="112"/>
      <c r="R84" s="46"/>
      <c r="U84" s="38">
        <v>25</v>
      </c>
      <c r="V84" s="38">
        <v>75</v>
      </c>
      <c r="W84" s="38">
        <v>150</v>
      </c>
      <c r="X84" s="38">
        <v>300</v>
      </c>
      <c r="Y84" s="38">
        <v>500</v>
      </c>
      <c r="Z84" s="38">
        <v>700</v>
      </c>
      <c r="AA84" s="38">
        <v>0</v>
      </c>
      <c r="AB84" s="38">
        <v>0</v>
      </c>
      <c r="AC84" s="38">
        <v>0</v>
      </c>
      <c r="AD84" s="38">
        <v>0</v>
      </c>
      <c r="AE84" s="38">
        <v>0</v>
      </c>
    </row>
    <row r="85" spans="1:31" s="38" customFormat="1" ht="15.95" customHeight="1" x14ac:dyDescent="0.2">
      <c r="A85" s="115" t="s">
        <v>102</v>
      </c>
      <c r="B85" s="116" t="s">
        <v>9</v>
      </c>
      <c r="C85" s="116"/>
      <c r="D85" s="116" t="s">
        <v>18</v>
      </c>
      <c r="E85" s="116">
        <v>45</v>
      </c>
      <c r="F85" s="116">
        <v>14</v>
      </c>
      <c r="G85" s="116">
        <v>17</v>
      </c>
      <c r="H85" s="116">
        <v>3</v>
      </c>
      <c r="I85" s="116">
        <v>10</v>
      </c>
      <c r="J85" s="187" t="str">
        <f>J71</f>
        <v>Un</v>
      </c>
      <c r="K85" s="46">
        <v>2</v>
      </c>
      <c r="L85" s="253" t="s">
        <v>608</v>
      </c>
      <c r="N85" s="110" t="s">
        <v>79</v>
      </c>
      <c r="O85" s="112"/>
      <c r="P85" s="112" t="str">
        <f t="shared" si="12"/>
        <v>Un</v>
      </c>
      <c r="Q85" s="112"/>
      <c r="R85" s="46"/>
      <c r="U85" s="38">
        <v>0</v>
      </c>
      <c r="V85" s="38">
        <v>0</v>
      </c>
      <c r="W85" s="38">
        <v>0</v>
      </c>
      <c r="X85" s="38">
        <v>0</v>
      </c>
      <c r="Y85" s="38">
        <v>0</v>
      </c>
      <c r="Z85" s="38">
        <v>0</v>
      </c>
      <c r="AA85" s="38">
        <v>0</v>
      </c>
      <c r="AB85" s="38">
        <v>0</v>
      </c>
      <c r="AC85" s="38">
        <v>0</v>
      </c>
      <c r="AD85" s="38">
        <v>0</v>
      </c>
      <c r="AE85" s="38">
        <v>0</v>
      </c>
    </row>
    <row r="86" spans="1:31" s="38" customFormat="1" ht="15.95" customHeight="1" x14ac:dyDescent="0.2">
      <c r="A86" s="115" t="s">
        <v>103</v>
      </c>
      <c r="B86" s="116" t="s">
        <v>23</v>
      </c>
      <c r="C86" s="116"/>
      <c r="D86" s="116" t="s">
        <v>20</v>
      </c>
      <c r="E86" s="116">
        <v>40</v>
      </c>
      <c r="F86" s="116">
        <v>8</v>
      </c>
      <c r="G86" s="116">
        <v>15</v>
      </c>
      <c r="H86" s="116">
        <v>0</v>
      </c>
      <c r="I86" s="116">
        <v>10</v>
      </c>
      <c r="J86" s="107" t="s">
        <v>283</v>
      </c>
      <c r="K86" s="46">
        <v>1</v>
      </c>
      <c r="L86" s="253"/>
      <c r="N86" s="110" t="s">
        <v>80</v>
      </c>
      <c r="O86" s="112"/>
      <c r="P86" s="112" t="str">
        <f t="shared" si="12"/>
        <v>Un</v>
      </c>
      <c r="Q86" s="112"/>
      <c r="R86" s="46"/>
      <c r="U86" s="38">
        <v>50</v>
      </c>
      <c r="V86" s="38">
        <v>50</v>
      </c>
      <c r="W86" s="38">
        <v>100</v>
      </c>
      <c r="X86" s="38">
        <v>200</v>
      </c>
      <c r="Y86" s="38">
        <v>400</v>
      </c>
      <c r="Z86" s="38">
        <v>1100</v>
      </c>
      <c r="AA86" s="38">
        <v>1500</v>
      </c>
      <c r="AB86" s="38">
        <v>3000</v>
      </c>
      <c r="AC86" s="38">
        <v>3000</v>
      </c>
      <c r="AD86" s="38">
        <v>3000</v>
      </c>
      <c r="AE86" s="38">
        <v>4000</v>
      </c>
    </row>
    <row r="87" spans="1:31" s="38" customFormat="1" ht="15.95" customHeight="1" x14ac:dyDescent="0.2">
      <c r="A87" s="115" t="s">
        <v>104</v>
      </c>
      <c r="B87" s="116" t="s">
        <v>23</v>
      </c>
      <c r="C87" s="116"/>
      <c r="D87" s="116" t="s">
        <v>18</v>
      </c>
      <c r="E87" s="116">
        <v>45</v>
      </c>
      <c r="F87" s="116">
        <v>13</v>
      </c>
      <c r="G87" s="116">
        <v>17</v>
      </c>
      <c r="H87" s="116">
        <v>3</v>
      </c>
      <c r="I87" s="116">
        <v>10</v>
      </c>
      <c r="J87" s="107" t="s">
        <v>283</v>
      </c>
      <c r="K87" s="46">
        <v>4</v>
      </c>
      <c r="L87" s="253" t="s">
        <v>608</v>
      </c>
      <c r="N87" s="110" t="s">
        <v>82</v>
      </c>
      <c r="O87" s="112"/>
      <c r="P87" s="112" t="str">
        <f t="shared" si="12"/>
        <v>Un</v>
      </c>
      <c r="Q87" s="112"/>
      <c r="R87" s="46"/>
      <c r="U87" s="38">
        <v>50</v>
      </c>
      <c r="V87" s="38">
        <v>50</v>
      </c>
      <c r="W87" s="38">
        <v>100</v>
      </c>
      <c r="X87" s="38">
        <v>200</v>
      </c>
      <c r="Y87" s="38">
        <v>400</v>
      </c>
      <c r="Z87" s="38">
        <v>800</v>
      </c>
      <c r="AA87" s="38">
        <v>1400</v>
      </c>
      <c r="AB87" s="38">
        <v>2000</v>
      </c>
      <c r="AC87" s="38">
        <v>2000</v>
      </c>
      <c r="AD87" s="38">
        <v>2000</v>
      </c>
      <c r="AE87" s="38">
        <v>3000</v>
      </c>
    </row>
    <row r="88" spans="1:31" s="38" customFormat="1" ht="15.95" customHeight="1" x14ac:dyDescent="0.2">
      <c r="A88" s="115" t="s">
        <v>105</v>
      </c>
      <c r="B88" s="116" t="s">
        <v>23</v>
      </c>
      <c r="C88" s="116">
        <v>60</v>
      </c>
      <c r="D88" s="116" t="s">
        <v>12</v>
      </c>
      <c r="E88" s="116">
        <v>45</v>
      </c>
      <c r="F88" s="116">
        <v>14</v>
      </c>
      <c r="G88" s="116">
        <v>15</v>
      </c>
      <c r="H88" s="116">
        <v>2</v>
      </c>
      <c r="I88" s="116">
        <v>8</v>
      </c>
      <c r="J88" s="187" t="str">
        <f>J49</f>
        <v>Un</v>
      </c>
      <c r="K88" s="46">
        <v>4</v>
      </c>
      <c r="L88" s="253"/>
      <c r="N88" s="110" t="s">
        <v>83</v>
      </c>
      <c r="O88" s="112"/>
      <c r="P88" s="112" t="str">
        <f t="shared" si="12"/>
        <v>Un</v>
      </c>
      <c r="Q88" s="112"/>
      <c r="R88" s="46"/>
      <c r="U88" s="38">
        <v>0</v>
      </c>
      <c r="V88" s="38">
        <v>0</v>
      </c>
      <c r="W88" s="38">
        <v>0</v>
      </c>
      <c r="X88" s="38">
        <v>0</v>
      </c>
      <c r="Y88" s="38">
        <v>0</v>
      </c>
      <c r="Z88" s="38">
        <v>0</v>
      </c>
      <c r="AA88" s="38">
        <v>0</v>
      </c>
      <c r="AB88" s="38">
        <v>0</v>
      </c>
      <c r="AC88" s="38">
        <v>0</v>
      </c>
      <c r="AD88" s="38">
        <v>0</v>
      </c>
      <c r="AE88" s="38">
        <v>0</v>
      </c>
    </row>
    <row r="89" spans="1:31" s="38" customFormat="1" ht="15.95" customHeight="1" x14ac:dyDescent="0.2">
      <c r="A89" s="115" t="s">
        <v>106</v>
      </c>
      <c r="B89" s="116" t="s">
        <v>23</v>
      </c>
      <c r="C89" s="116">
        <v>180</v>
      </c>
      <c r="D89" s="116" t="s">
        <v>12</v>
      </c>
      <c r="E89" s="116">
        <v>55</v>
      </c>
      <c r="F89" s="116">
        <v>16</v>
      </c>
      <c r="G89" s="116">
        <v>15</v>
      </c>
      <c r="H89" s="116">
        <v>4</v>
      </c>
      <c r="I89" s="116">
        <v>8</v>
      </c>
      <c r="J89" s="107" t="s">
        <v>283</v>
      </c>
      <c r="K89" s="46">
        <v>6</v>
      </c>
      <c r="L89" s="253"/>
      <c r="N89" s="110" t="s">
        <v>84</v>
      </c>
      <c r="O89" s="112"/>
      <c r="P89" s="112" t="str">
        <f t="shared" si="12"/>
        <v>Un</v>
      </c>
      <c r="Q89" s="112"/>
      <c r="R89" s="46"/>
      <c r="U89" s="38">
        <v>300</v>
      </c>
      <c r="V89" s="38">
        <v>200</v>
      </c>
      <c r="W89" s="38">
        <v>500</v>
      </c>
      <c r="X89" s="38">
        <v>1000</v>
      </c>
      <c r="Y89" s="38">
        <v>2000</v>
      </c>
      <c r="Z89" s="38">
        <v>2000</v>
      </c>
      <c r="AA89" s="38">
        <v>2000</v>
      </c>
      <c r="AB89" s="38">
        <v>2000</v>
      </c>
      <c r="AC89" s="38">
        <v>3000</v>
      </c>
      <c r="AD89" s="38">
        <v>0</v>
      </c>
      <c r="AE89" s="38">
        <v>0</v>
      </c>
    </row>
    <row r="90" spans="1:31" s="38" customFormat="1" ht="15.95" customHeight="1" x14ac:dyDescent="0.2">
      <c r="A90" s="52" t="s">
        <v>107</v>
      </c>
      <c r="B90" s="53" t="s">
        <v>9</v>
      </c>
      <c r="C90" s="53"/>
      <c r="D90" s="53" t="s">
        <v>18</v>
      </c>
      <c r="E90" s="53">
        <v>60</v>
      </c>
      <c r="F90" s="53">
        <v>14</v>
      </c>
      <c r="G90" s="53">
        <v>17</v>
      </c>
      <c r="H90" s="53">
        <v>3</v>
      </c>
      <c r="I90" s="53">
        <v>7</v>
      </c>
      <c r="J90" s="3"/>
      <c r="K90" s="3"/>
      <c r="L90" s="3"/>
      <c r="M90" s="34"/>
      <c r="N90" s="110" t="s">
        <v>85</v>
      </c>
      <c r="O90" s="112"/>
      <c r="P90" s="112" t="str">
        <f t="shared" si="12"/>
        <v>Un</v>
      </c>
      <c r="Q90" s="112"/>
      <c r="R90" s="3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</row>
    <row r="91" spans="1:31" x14ac:dyDescent="0.2">
      <c r="N91" s="110" t="s">
        <v>86</v>
      </c>
      <c r="O91" s="110"/>
      <c r="P91" s="112" t="str">
        <f t="shared" si="12"/>
        <v>Un</v>
      </c>
      <c r="Q91" s="110"/>
    </row>
    <row r="92" spans="1:31" x14ac:dyDescent="0.2">
      <c r="N92" s="110" t="s">
        <v>87</v>
      </c>
      <c r="O92" s="110"/>
      <c r="P92" s="112" t="str">
        <f t="shared" si="12"/>
        <v>Un</v>
      </c>
      <c r="Q92" s="110"/>
    </row>
    <row r="93" spans="1:31" x14ac:dyDescent="0.2">
      <c r="N93" s="110" t="s">
        <v>88</v>
      </c>
      <c r="O93" s="110"/>
      <c r="P93" s="112" t="str">
        <f t="shared" si="12"/>
        <v>Un</v>
      </c>
      <c r="Q93" s="110"/>
    </row>
    <row r="94" spans="1:31" x14ac:dyDescent="0.2">
      <c r="N94" s="110" t="s">
        <v>89</v>
      </c>
      <c r="O94" s="110"/>
      <c r="P94" s="112" t="str">
        <f t="shared" si="12"/>
        <v>Un</v>
      </c>
      <c r="Q94" s="110"/>
    </row>
    <row r="95" spans="1:31" x14ac:dyDescent="0.2">
      <c r="N95" s="110" t="s">
        <v>90</v>
      </c>
      <c r="O95" s="110"/>
      <c r="P95" s="112" t="str">
        <f t="shared" si="12"/>
        <v>Un</v>
      </c>
      <c r="Q95" s="110"/>
    </row>
    <row r="96" spans="1:31" x14ac:dyDescent="0.2">
      <c r="N96" s="110" t="s">
        <v>91</v>
      </c>
      <c r="O96" s="110"/>
      <c r="P96" s="112" t="str">
        <f t="shared" si="12"/>
        <v>Un</v>
      </c>
      <c r="Q96" s="110"/>
    </row>
    <row r="97" spans="14:17" x14ac:dyDescent="0.2">
      <c r="N97" s="110" t="s">
        <v>92</v>
      </c>
      <c r="O97" s="110"/>
      <c r="P97" s="112" t="str">
        <f t="shared" si="12"/>
        <v>Un</v>
      </c>
      <c r="Q97" s="110"/>
    </row>
    <row r="98" spans="14:17" x14ac:dyDescent="0.2">
      <c r="N98" s="110" t="s">
        <v>93</v>
      </c>
      <c r="O98" s="110"/>
      <c r="P98" s="112" t="str">
        <f t="shared" si="12"/>
        <v>Un</v>
      </c>
      <c r="Q98" s="110"/>
    </row>
    <row r="99" spans="14:17" x14ac:dyDescent="0.2">
      <c r="N99" s="110" t="s">
        <v>94</v>
      </c>
      <c r="O99" s="110"/>
      <c r="P99" s="112" t="str">
        <f t="shared" si="12"/>
        <v>Un</v>
      </c>
      <c r="Q99" s="110"/>
    </row>
    <row r="100" spans="14:17" x14ac:dyDescent="0.2">
      <c r="N100" s="110" t="s">
        <v>95</v>
      </c>
      <c r="O100" s="110"/>
      <c r="P100" s="112" t="str">
        <f t="shared" si="12"/>
        <v>Un</v>
      </c>
      <c r="Q100" s="110"/>
    </row>
    <row r="101" spans="14:17" x14ac:dyDescent="0.2">
      <c r="N101" s="110" t="s">
        <v>97</v>
      </c>
      <c r="O101" s="110"/>
      <c r="P101" s="112" t="str">
        <f t="shared" si="12"/>
        <v>Un</v>
      </c>
      <c r="Q101" s="110"/>
    </row>
    <row r="102" spans="14:17" x14ac:dyDescent="0.2">
      <c r="N102" s="110" t="s">
        <v>98</v>
      </c>
      <c r="O102" s="110"/>
      <c r="P102" s="112" t="str">
        <f t="shared" si="12"/>
        <v>Un</v>
      </c>
      <c r="Q102" s="110"/>
    </row>
    <row r="103" spans="14:17" x14ac:dyDescent="0.2">
      <c r="N103" s="110" t="s">
        <v>99</v>
      </c>
      <c r="O103" s="110"/>
      <c r="P103" s="112" t="str">
        <f t="shared" si="12"/>
        <v>Un</v>
      </c>
      <c r="Q103" s="110"/>
    </row>
    <row r="104" spans="14:17" x14ac:dyDescent="0.2">
      <c r="N104" s="110" t="s">
        <v>100</v>
      </c>
      <c r="O104" s="110"/>
      <c r="P104" s="112" t="str">
        <f t="shared" si="12"/>
        <v>Un</v>
      </c>
      <c r="Q104" s="110"/>
    </row>
    <row r="105" spans="14:17" x14ac:dyDescent="0.2">
      <c r="N105" s="110" t="s">
        <v>101</v>
      </c>
      <c r="O105" s="110"/>
      <c r="P105" s="112" t="str">
        <f t="shared" si="12"/>
        <v>Un</v>
      </c>
      <c r="Q105" s="110"/>
    </row>
    <row r="106" spans="14:17" x14ac:dyDescent="0.2">
      <c r="N106" s="110" t="s">
        <v>102</v>
      </c>
      <c r="O106" s="110"/>
      <c r="P106" s="112" t="str">
        <f t="shared" si="12"/>
        <v>Un</v>
      </c>
      <c r="Q106" s="110"/>
    </row>
    <row r="107" spans="14:17" x14ac:dyDescent="0.2">
      <c r="N107" s="110" t="s">
        <v>103</v>
      </c>
      <c r="O107" s="110"/>
      <c r="P107" s="112" t="str">
        <f t="shared" si="12"/>
        <v>Un</v>
      </c>
      <c r="Q107" s="110"/>
    </row>
    <row r="108" spans="14:17" x14ac:dyDescent="0.2">
      <c r="N108" s="110" t="s">
        <v>104</v>
      </c>
      <c r="O108" s="110"/>
      <c r="P108" s="112" t="str">
        <f t="shared" si="12"/>
        <v>Un</v>
      </c>
      <c r="Q108" s="110"/>
    </row>
    <row r="109" spans="14:17" x14ac:dyDescent="0.2">
      <c r="N109" s="110" t="s">
        <v>105</v>
      </c>
      <c r="O109" s="110"/>
      <c r="P109" s="112" t="str">
        <f t="shared" si="12"/>
        <v>Un</v>
      </c>
      <c r="Q109" s="110"/>
    </row>
    <row r="110" spans="14:17" x14ac:dyDescent="0.2">
      <c r="N110" s="110" t="s">
        <v>106</v>
      </c>
      <c r="O110" s="110"/>
      <c r="P110" s="112" t="str">
        <f t="shared" si="12"/>
        <v>Un</v>
      </c>
      <c r="Q110" s="110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N118"/>
  <sheetViews>
    <sheetView workbookViewId="0">
      <pane xSplit="1" ySplit="7" topLeftCell="B8" activePane="bottomRight" state="frozenSplit"/>
      <selection pane="topRight" activeCell="B1" sqref="B1"/>
      <selection pane="bottomLeft" activeCell="A8" sqref="A8"/>
      <selection pane="bottomRight" activeCell="A22" sqref="A22"/>
    </sheetView>
  </sheetViews>
  <sheetFormatPr defaultColWidth="9.140625" defaultRowHeight="12" x14ac:dyDescent="0.2"/>
  <cols>
    <col min="1" max="1" width="18.5703125" style="34" customWidth="1"/>
    <col min="2" max="3" width="5.28515625" style="3" customWidth="1"/>
    <col min="4" max="4" width="6.5703125" style="3" bestFit="1" customWidth="1"/>
    <col min="5" max="5" width="7.7109375" style="216" customWidth="1"/>
    <col min="6" max="6" width="15.7109375" style="216" customWidth="1"/>
    <col min="7" max="7" width="9.85546875" style="216" customWidth="1"/>
    <col min="8" max="8" width="7.7109375" style="3" customWidth="1"/>
    <col min="9" max="9" width="8.85546875" style="3" bestFit="1" customWidth="1"/>
    <col min="10" max="10" width="7.140625" style="3" bestFit="1" customWidth="1"/>
    <col min="11" max="11" width="15.7109375" style="216" customWidth="1"/>
    <col min="12" max="12" width="14.140625" style="34" customWidth="1"/>
    <col min="13" max="13" width="7.85546875" style="34" bestFit="1" customWidth="1"/>
    <col min="14" max="14" width="6.42578125" style="217" customWidth="1"/>
    <col min="15" max="15" width="6.42578125" style="34" customWidth="1"/>
    <col min="16" max="16" width="8" style="34" bestFit="1" customWidth="1"/>
    <col min="17" max="17" width="8.5703125" style="34" customWidth="1"/>
    <col min="18" max="18" width="8.7109375" style="34" hidden="1" customWidth="1"/>
    <col min="19" max="39" width="8.7109375" style="34" customWidth="1"/>
    <col min="40" max="16384" width="9.140625" style="34"/>
  </cols>
  <sheetData>
    <row r="1" spans="1:22" ht="12.75" x14ac:dyDescent="0.2">
      <c r="A1" s="215" t="str">
        <f>"Ranking for "&amp;Setup!B2&amp;". "&amp;L3&amp;" to "&amp;L4</f>
        <v>Ranking for Character's name. Summer 820 to Autumn 820</v>
      </c>
      <c r="G1" s="3" t="s">
        <v>1176</v>
      </c>
      <c r="H1" s="300" t="s">
        <v>1876</v>
      </c>
      <c r="I1" s="300"/>
      <c r="J1" s="300"/>
      <c r="K1" s="216" t="s">
        <v>1177</v>
      </c>
      <c r="L1" s="300"/>
      <c r="M1" s="300"/>
      <c r="N1" s="300"/>
    </row>
    <row r="2" spans="1:22" s="5" customFormat="1" ht="12.75" x14ac:dyDescent="0.2">
      <c r="B2" s="4"/>
      <c r="C2" s="4"/>
      <c r="D2" s="4"/>
      <c r="E2" s="218" t="s">
        <v>330</v>
      </c>
      <c r="F2" s="218" t="s">
        <v>331</v>
      </c>
      <c r="G2" s="218" t="s">
        <v>332</v>
      </c>
      <c r="H2" s="4"/>
      <c r="I2" s="4"/>
      <c r="J2" s="4"/>
      <c r="K2" s="219"/>
      <c r="L2" s="2" t="s">
        <v>333</v>
      </c>
      <c r="N2" s="220"/>
      <c r="P2" s="221" t="s">
        <v>334</v>
      </c>
      <c r="S2" s="5" t="s">
        <v>335</v>
      </c>
      <c r="T2" s="5" t="s">
        <v>336</v>
      </c>
      <c r="U2" s="5" t="s">
        <v>337</v>
      </c>
      <c r="V2" s="5" t="s">
        <v>338</v>
      </c>
    </row>
    <row r="3" spans="1:22" s="5" customFormat="1" ht="12.75" x14ac:dyDescent="0.2">
      <c r="A3" s="222" t="s">
        <v>339</v>
      </c>
      <c r="B3" s="4"/>
      <c r="C3" s="4"/>
      <c r="D3" s="4"/>
      <c r="E3" s="657">
        <f>'XP &amp; SP Log'!A2</f>
        <v>9000</v>
      </c>
      <c r="F3" s="658" t="str">
        <f>IF(P3=0,"","("&amp;TRUNC(P3/7,0)&amp;"w "&amp;MOD(P3,7)&amp;"d) "&amp;P3&amp;" days")</f>
        <v>(12w 6d) 90 days</v>
      </c>
      <c r="G3" s="657">
        <f>'XP &amp; SP Log'!A1</f>
        <v>500</v>
      </c>
      <c r="H3" s="4"/>
      <c r="I3" s="4"/>
      <c r="J3" s="4"/>
      <c r="K3" s="218" t="s">
        <v>340</v>
      </c>
      <c r="L3" s="117" t="s">
        <v>1877</v>
      </c>
      <c r="N3" s="308" t="s">
        <v>1198</v>
      </c>
      <c r="O3" s="308" t="s">
        <v>1199</v>
      </c>
      <c r="P3" s="5">
        <f>((RIGHT(L4,3)-RIGHT(L3,3))*360)+(MATCH(LEFT(L4,LEN(L4)-4),S2:V2,0)*90)-(MATCH(LEFT(L3,LEN(L3)-4),S2:V2,0)*90)-L5+L6</f>
        <v>90</v>
      </c>
      <c r="Q3" s="299" t="str">
        <f>A3</f>
        <v>Available</v>
      </c>
      <c r="S3" s="5" t="s">
        <v>1195</v>
      </c>
      <c r="T3" s="5" t="s">
        <v>1196</v>
      </c>
      <c r="U3" s="4" t="s">
        <v>361</v>
      </c>
    </row>
    <row r="4" spans="1:22" s="5" customFormat="1" ht="12.75" x14ac:dyDescent="0.2">
      <c r="A4" s="222" t="s">
        <v>125</v>
      </c>
      <c r="B4" s="4"/>
      <c r="C4" s="4"/>
      <c r="D4" s="4"/>
      <c r="E4" s="219">
        <f>E89+E97</f>
        <v>0</v>
      </c>
      <c r="F4" s="223" t="str">
        <f>IF(P4=0,"","("&amp;TRUNC(P4/7,0)&amp;"w "&amp;MOD(P4,7)&amp;"d) "&amp;P4&amp;" days")</f>
        <v/>
      </c>
      <c r="G4" s="216">
        <f>(G89+G97)</f>
        <v>0</v>
      </c>
      <c r="H4" s="4"/>
      <c r="I4" s="4"/>
      <c r="J4" s="4"/>
      <c r="K4" s="218" t="s">
        <v>341</v>
      </c>
      <c r="L4" s="117" t="s">
        <v>1878</v>
      </c>
      <c r="N4" s="220">
        <f>SUMIF($D$64:$D$88,S$4,$F$64:$F$88)+SUMIF($D$92:$D$96,S$4,$F$92:$F$96)</f>
        <v>0</v>
      </c>
      <c r="O4" s="220">
        <f>SUMIF($D$64:$D$88,T$4,$F$64:$F$88)+SUMIF($D$92:$D$96,T$4,$F$92:$F$96)</f>
        <v>0</v>
      </c>
      <c r="P4" s="5">
        <f>MAX(N4,O4)</f>
        <v>0</v>
      </c>
      <c r="Q4" s="299" t="str">
        <f>A4</f>
        <v>Magic</v>
      </c>
      <c r="S4" s="4" t="s">
        <v>356</v>
      </c>
      <c r="T4" s="4" t="s">
        <v>357</v>
      </c>
      <c r="U4" s="307" t="s">
        <v>1197</v>
      </c>
    </row>
    <row r="5" spans="1:22" s="5" customFormat="1" ht="12.75" x14ac:dyDescent="0.2">
      <c r="A5" s="222" t="s">
        <v>342</v>
      </c>
      <c r="B5" s="4"/>
      <c r="C5" s="4"/>
      <c r="D5" s="4"/>
      <c r="E5" s="219">
        <f>E40+E61+E105+SUM(E10:E17)</f>
        <v>1500</v>
      </c>
      <c r="F5" s="223" t="str">
        <f>IF(P5=0,"","("&amp;TRUNC(P5/7,0)&amp;"w "&amp;MOD(P5,7)&amp;"d) "&amp;P5&amp;" days")</f>
        <v/>
      </c>
      <c r="G5" s="216">
        <f>SUM(G10:G17,G40,G61,G105)</f>
        <v>0</v>
      </c>
      <c r="H5" s="4"/>
      <c r="I5" s="4"/>
      <c r="J5" s="4"/>
      <c r="K5" s="218" t="s">
        <v>586</v>
      </c>
      <c r="L5" s="117">
        <v>0</v>
      </c>
      <c r="N5" s="220">
        <f>SUMIF($D$20:$D$39,S$4,$F$20:$F$39)+SUMIF($D$43:$D$60,S$4,$F$43:$F$60)+SUMIF($D$100:$D$104,S$4,$F$100:$F$104)</f>
        <v>0</v>
      </c>
      <c r="O5" s="220">
        <f>SUMIF($D$20:$D$39,T$4,$F$20:$F$39)+SUMIF($D$43:$D$60,T$4,$F$43:$F$60)+SUMIF($D$100:$D$104,T$4,$F$100:$F$104)</f>
        <v>0</v>
      </c>
      <c r="P5" s="5">
        <f>MAX(N5,O5)</f>
        <v>0</v>
      </c>
      <c r="Q5" s="299" t="str">
        <f>A5</f>
        <v>Non-Magic</v>
      </c>
    </row>
    <row r="6" spans="1:22" s="5" customFormat="1" ht="12.75" x14ac:dyDescent="0.2">
      <c r="A6" s="221" t="s">
        <v>343</v>
      </c>
      <c r="B6" s="4"/>
      <c r="C6" s="4"/>
      <c r="D6" s="4"/>
      <c r="E6" s="224">
        <f>E4+E5</f>
        <v>1500</v>
      </c>
      <c r="F6" s="225" t="str">
        <f>IF(P6=0,"","("&amp;TRUNC(P6/7,0)&amp;"w "&amp;MOD(P6,7)&amp;"d) "&amp;P6&amp;" days")</f>
        <v/>
      </c>
      <c r="G6" s="226">
        <f>SUM(G4:G5)</f>
        <v>0</v>
      </c>
      <c r="H6" s="4"/>
      <c r="I6" s="4"/>
      <c r="J6" s="4"/>
      <c r="K6" s="218" t="s">
        <v>587</v>
      </c>
      <c r="L6" s="117">
        <v>0</v>
      </c>
      <c r="N6" s="309">
        <f>SUM(N4,N5,SUMIF($D108:$D117,S$4,$F108:$F117))</f>
        <v>0</v>
      </c>
      <c r="O6" s="309">
        <f>SUM(O4,O5,SUMIF($D108:$D117,T$4,$F108:$F117))</f>
        <v>0</v>
      </c>
      <c r="P6" s="227">
        <f>MAX(P4+P5,SUMIF(D9:D117,S4,F9:F117),SUMIF(D9:D117,T4,F9:F117),SUMIF(D108:D117,"",F108:F117))</f>
        <v>0</v>
      </c>
      <c r="Q6" s="299" t="str">
        <f>A6</f>
        <v>Total</v>
      </c>
    </row>
    <row r="7" spans="1:22" s="5" customFormat="1" ht="12.75" x14ac:dyDescent="0.2">
      <c r="A7" s="222" t="s">
        <v>344</v>
      </c>
      <c r="B7" s="4"/>
      <c r="C7" s="4"/>
      <c r="D7" s="4"/>
      <c r="E7" s="228">
        <f>E3-E6</f>
        <v>7500</v>
      </c>
      <c r="F7" s="223" t="str">
        <f>IF(P7=0,"",IF(P7&lt;0,P7,"("&amp;TRUNC(P7/7,0)&amp;"w "&amp;MOD(P7,7)&amp;"d) "&amp;P7)&amp;" days")</f>
        <v>(12w 6d) 90 days</v>
      </c>
      <c r="G7" s="229">
        <f>G3-G6</f>
        <v>500</v>
      </c>
      <c r="H7" s="4"/>
      <c r="I7" s="4"/>
      <c r="J7" s="4"/>
      <c r="K7" s="219"/>
      <c r="N7" s="220">
        <f>$P$3-N6</f>
        <v>90</v>
      </c>
      <c r="O7" s="220">
        <f>$P$3-O6</f>
        <v>90</v>
      </c>
      <c r="P7" s="5">
        <f>P3-P6</f>
        <v>90</v>
      </c>
      <c r="Q7" s="299" t="str">
        <f>A7</f>
        <v>Balance</v>
      </c>
    </row>
    <row r="9" spans="1:22" s="3" customFormat="1" x14ac:dyDescent="0.2">
      <c r="A9" s="230" t="s">
        <v>345</v>
      </c>
      <c r="B9" s="231" t="s">
        <v>346</v>
      </c>
      <c r="C9" s="231" t="s">
        <v>347</v>
      </c>
      <c r="D9" s="231"/>
      <c r="E9" s="232" t="s">
        <v>330</v>
      </c>
      <c r="F9" s="232"/>
      <c r="G9" s="232"/>
      <c r="H9" s="231" t="s">
        <v>348</v>
      </c>
      <c r="I9" s="231"/>
      <c r="J9" s="231"/>
      <c r="K9" s="232" t="s">
        <v>349</v>
      </c>
      <c r="L9" s="231"/>
      <c r="M9" s="231"/>
      <c r="O9" s="411" t="s">
        <v>350</v>
      </c>
      <c r="P9" s="411" t="s">
        <v>351</v>
      </c>
      <c r="Q9" s="411" t="s">
        <v>233</v>
      </c>
      <c r="R9" s="233"/>
    </row>
    <row r="10" spans="1:22" x14ac:dyDescent="0.2">
      <c r="A10" s="34" t="s">
        <v>109</v>
      </c>
      <c r="B10" s="619">
        <f>Setup!$B$20</f>
        <v>15</v>
      </c>
      <c r="C10" s="273"/>
      <c r="E10" s="216" t="str">
        <f t="shared" ref="E10:E17" si="0">IF(R10,K10+H10,"")</f>
        <v/>
      </c>
      <c r="H10" s="273"/>
      <c r="K10" s="216">
        <f>IF(R10,P10*Q10,0)</f>
        <v>0</v>
      </c>
      <c r="O10" s="412">
        <f>Setup!B$22</f>
        <v>20</v>
      </c>
      <c r="P10" s="412">
        <f t="shared" ref="P10:P17" si="1">IF(R10,C10-B10,0)</f>
        <v>0</v>
      </c>
      <c r="Q10" s="412">
        <v>5000</v>
      </c>
      <c r="R10" s="217" t="b">
        <f t="shared" ref="R10:R17" si="2">AND(A10&gt;"",C10&lt;&gt;"",OR(B10="Un",C10&gt;B10),C10&lt;=O10)</f>
        <v>0</v>
      </c>
    </row>
    <row r="11" spans="1:22" x14ac:dyDescent="0.2">
      <c r="A11" s="34" t="s">
        <v>110</v>
      </c>
      <c r="B11" s="619">
        <f>Setup!$C$20</f>
        <v>15</v>
      </c>
      <c r="C11" s="273"/>
      <c r="E11" s="216" t="str">
        <f t="shared" si="0"/>
        <v/>
      </c>
      <c r="H11" s="273"/>
      <c r="K11" s="216">
        <f>IF(R11,P11*Q11,0)</f>
        <v>0</v>
      </c>
      <c r="O11" s="412">
        <f>Setup!C$22</f>
        <v>20</v>
      </c>
      <c r="P11" s="412">
        <f t="shared" si="1"/>
        <v>0</v>
      </c>
      <c r="Q11" s="412">
        <v>5000</v>
      </c>
      <c r="R11" s="217" t="b">
        <f t="shared" si="2"/>
        <v>0</v>
      </c>
    </row>
    <row r="12" spans="1:22" x14ac:dyDescent="0.2">
      <c r="A12" s="34" t="s">
        <v>111</v>
      </c>
      <c r="B12" s="619">
        <f>Setup!$D$20</f>
        <v>15</v>
      </c>
      <c r="C12" s="273"/>
      <c r="E12" s="216" t="str">
        <f t="shared" si="0"/>
        <v/>
      </c>
      <c r="H12" s="273"/>
      <c r="K12" s="216">
        <f>IF(R12,P12*Q12,0)</f>
        <v>0</v>
      </c>
      <c r="O12" s="412">
        <f>Setup!D$22</f>
        <v>20</v>
      </c>
      <c r="P12" s="412">
        <f t="shared" si="1"/>
        <v>0</v>
      </c>
      <c r="Q12" s="412">
        <v>5000</v>
      </c>
      <c r="R12" s="217" t="b">
        <f t="shared" si="2"/>
        <v>0</v>
      </c>
    </row>
    <row r="13" spans="1:22" x14ac:dyDescent="0.2">
      <c r="A13" s="34" t="s">
        <v>112</v>
      </c>
      <c r="B13" s="619">
        <f>Setup!$E$20</f>
        <v>15</v>
      </c>
      <c r="C13" s="273"/>
      <c r="E13" s="216" t="str">
        <f t="shared" si="0"/>
        <v/>
      </c>
      <c r="H13" s="273"/>
      <c r="K13" s="216">
        <f>IF(R13,P13*Q13,0)</f>
        <v>0</v>
      </c>
      <c r="O13" s="412">
        <f>Setup!E$22</f>
        <v>20</v>
      </c>
      <c r="P13" s="412">
        <f t="shared" si="1"/>
        <v>0</v>
      </c>
      <c r="Q13" s="412">
        <v>5000</v>
      </c>
      <c r="R13" s="217" t="b">
        <f t="shared" si="2"/>
        <v>0</v>
      </c>
    </row>
    <row r="14" spans="1:22" x14ac:dyDescent="0.2">
      <c r="A14" s="34" t="s">
        <v>113</v>
      </c>
      <c r="B14" s="619">
        <f>Setup!$F$20</f>
        <v>15</v>
      </c>
      <c r="C14" s="273"/>
      <c r="E14" s="216" t="str">
        <f t="shared" si="0"/>
        <v/>
      </c>
      <c r="H14" s="273"/>
      <c r="K14" s="216">
        <f>IF(R14,P14*Q14,0)</f>
        <v>0</v>
      </c>
      <c r="O14" s="412">
        <f>Setup!F$22</f>
        <v>20</v>
      </c>
      <c r="P14" s="412">
        <f t="shared" si="1"/>
        <v>0</v>
      </c>
      <c r="Q14" s="412">
        <v>5000</v>
      </c>
      <c r="R14" s="217" t="b">
        <f t="shared" si="2"/>
        <v>0</v>
      </c>
    </row>
    <row r="15" spans="1:22" x14ac:dyDescent="0.2">
      <c r="A15" s="34" t="s">
        <v>114</v>
      </c>
      <c r="B15" s="619">
        <f>Setup!$G$20</f>
        <v>15</v>
      </c>
      <c r="C15" s="273"/>
      <c r="E15" s="216" t="str">
        <f t="shared" si="0"/>
        <v/>
      </c>
      <c r="H15" s="273"/>
      <c r="K15" s="216">
        <f>IF(R15,(P15+IF(Setup!G$18&lt;1,1,0))*Q15,0)</f>
        <v>0</v>
      </c>
      <c r="O15" s="412">
        <f>Setup!G$22</f>
        <v>20</v>
      </c>
      <c r="P15" s="412">
        <f t="shared" si="1"/>
        <v>0</v>
      </c>
      <c r="Q15" s="412">
        <v>2500</v>
      </c>
      <c r="R15" s="217" t="b">
        <f t="shared" si="2"/>
        <v>0</v>
      </c>
    </row>
    <row r="16" spans="1:22" x14ac:dyDescent="0.2">
      <c r="A16" s="34" t="s">
        <v>124</v>
      </c>
      <c r="B16" s="619">
        <f>Setup!$H$20</f>
        <v>20</v>
      </c>
      <c r="C16" s="273"/>
      <c r="E16" s="216" t="str">
        <f t="shared" si="0"/>
        <v/>
      </c>
      <c r="H16" s="273"/>
      <c r="K16" s="216">
        <f>IF(R16,P16*Q16,0)</f>
        <v>0</v>
      </c>
      <c r="O16" s="412">
        <f>Setup!H$22</f>
        <v>25</v>
      </c>
      <c r="P16" s="412">
        <f t="shared" si="1"/>
        <v>0</v>
      </c>
      <c r="Q16" s="412">
        <v>2500</v>
      </c>
      <c r="R16" s="217" t="b">
        <f t="shared" si="2"/>
        <v>0</v>
      </c>
    </row>
    <row r="17" spans="1:40" x14ac:dyDescent="0.2">
      <c r="A17" s="34" t="s">
        <v>122</v>
      </c>
      <c r="B17" s="619">
        <f>Setup!$I$20</f>
        <v>5</v>
      </c>
      <c r="C17" s="620">
        <f>B17+1</f>
        <v>6</v>
      </c>
      <c r="E17" s="216">
        <f t="shared" si="0"/>
        <v>1500</v>
      </c>
      <c r="H17" s="273"/>
      <c r="K17" s="216">
        <f>IF(R17,(P17+IF(Setup!$I$18&lt;1,1,0))*Q17,0)</f>
        <v>1500</v>
      </c>
      <c r="O17" s="412">
        <f>Setup!I$22</f>
        <v>25</v>
      </c>
      <c r="P17" s="412">
        <f t="shared" si="1"/>
        <v>1</v>
      </c>
      <c r="Q17" s="412">
        <v>750</v>
      </c>
      <c r="R17" s="217" t="b">
        <f t="shared" si="2"/>
        <v>1</v>
      </c>
    </row>
    <row r="18" spans="1:40" x14ac:dyDescent="0.2">
      <c r="C18" s="261"/>
      <c r="O18" s="412"/>
      <c r="P18" s="412"/>
      <c r="Q18" s="412"/>
      <c r="R18" s="217"/>
    </row>
    <row r="19" spans="1:40" x14ac:dyDescent="0.2">
      <c r="A19" s="230" t="s">
        <v>157</v>
      </c>
      <c r="B19" s="231" t="s">
        <v>346</v>
      </c>
      <c r="C19" s="231" t="s">
        <v>347</v>
      </c>
      <c r="D19" s="230" t="s">
        <v>362</v>
      </c>
      <c r="E19" s="232" t="s">
        <v>330</v>
      </c>
      <c r="F19" s="232" t="s">
        <v>331</v>
      </c>
      <c r="G19" s="232" t="s">
        <v>332</v>
      </c>
      <c r="H19" s="231" t="s">
        <v>348</v>
      </c>
      <c r="I19" s="231" t="s">
        <v>352</v>
      </c>
      <c r="J19" s="231" t="s">
        <v>353</v>
      </c>
      <c r="K19" s="232" t="s">
        <v>349</v>
      </c>
      <c r="L19" s="234" t="s">
        <v>354</v>
      </c>
      <c r="M19" s="234" t="s">
        <v>355</v>
      </c>
      <c r="O19" s="411" t="s">
        <v>350</v>
      </c>
      <c r="P19" s="411" t="s">
        <v>351</v>
      </c>
      <c r="Q19" s="411" t="s">
        <v>233</v>
      </c>
      <c r="R19" s="217"/>
      <c r="S19" s="235">
        <v>0</v>
      </c>
      <c r="T19" s="235">
        <v>1</v>
      </c>
      <c r="U19" s="235">
        <v>2</v>
      </c>
      <c r="V19" s="235">
        <v>3</v>
      </c>
      <c r="W19" s="235">
        <v>4</v>
      </c>
      <c r="X19" s="235">
        <v>5</v>
      </c>
      <c r="Y19" s="235">
        <v>6</v>
      </c>
      <c r="Z19" s="235">
        <v>7</v>
      </c>
      <c r="AA19" s="235">
        <v>8</v>
      </c>
      <c r="AB19" s="235">
        <v>9</v>
      </c>
      <c r="AC19" s="235">
        <v>10</v>
      </c>
      <c r="AD19" s="235">
        <v>0</v>
      </c>
      <c r="AE19" s="235">
        <v>1</v>
      </c>
      <c r="AF19" s="235">
        <v>2</v>
      </c>
      <c r="AG19" s="235">
        <v>3</v>
      </c>
      <c r="AH19" s="235">
        <v>4</v>
      </c>
      <c r="AI19" s="235">
        <v>5</v>
      </c>
      <c r="AJ19" s="235">
        <v>6</v>
      </c>
      <c r="AK19" s="235">
        <v>7</v>
      </c>
      <c r="AL19" s="235">
        <v>8</v>
      </c>
      <c r="AM19" s="235">
        <v>9</v>
      </c>
      <c r="AN19" s="235">
        <v>10</v>
      </c>
    </row>
    <row r="20" spans="1:40" x14ac:dyDescent="0.2">
      <c r="A20" s="276" t="s">
        <v>160</v>
      </c>
      <c r="B20" s="3" t="str">
        <f>IF(A20&gt;"",IF(ISERROR(VLOOKUP(A20,Skills!$A$2:$B$106,2,FALSE)),"Un",VLOOKUP(A20,Skills!$A$2:$B$206,2,FALSE)),"")</f>
        <v>Un</v>
      </c>
      <c r="C20" s="273"/>
      <c r="D20" s="273" t="s">
        <v>356</v>
      </c>
      <c r="E20" s="216" t="str">
        <f t="shared" ref="E20:E39" si="3">IF($R20,K20+H20,"")</f>
        <v/>
      </c>
      <c r="F20" s="216" t="str">
        <f t="shared" ref="F20:F39" si="4">IF($R20,L20+I20,"")</f>
        <v/>
      </c>
      <c r="G20" s="216" t="str">
        <f t="shared" ref="G20:G39" si="5">IF($R20,M20+J20,"")</f>
        <v/>
      </c>
      <c r="H20" s="274">
        <f>ROUND((K20*(0.9*VLOOKUP($A20,Skills!$A$2:$W$106,11,FALSE))-K20),0)</f>
        <v>0</v>
      </c>
      <c r="I20" s="275"/>
      <c r="J20" s="275"/>
      <c r="K20" s="216">
        <f t="shared" ref="K20:K39" si="6">IF(R20,IF(Q20&gt;"",P20*Q20,SUMIF($AD$19:$AN$19,$C20,$AD20:$AN20)-SUMIF($AD$19:$AN$19,$B20,$AD20:$AN20)),0)</f>
        <v>0</v>
      </c>
      <c r="L20" s="216" t="str">
        <f>IF(R20,(P20*VLOOKUP($A20,Skills!$A$2:$W$106,9,FALSE))+IF(B20="Un",VLOOKUP($A20,Skills!$A$2:$W$106,10,FALSE),0),"")</f>
        <v/>
      </c>
      <c r="M20" s="216">
        <f t="shared" ref="M20:M39" si="7">(P20+IF(B20="Un",1,0))*150</f>
        <v>150</v>
      </c>
      <c r="O20" s="412">
        <v>10</v>
      </c>
      <c r="P20" s="412">
        <f t="shared" ref="P20:P39" si="8">IF(R20,(C20*(C20+1)/2)-IF(B20="Un",0,B20*(B20+1)/2),0)</f>
        <v>0</v>
      </c>
      <c r="Q20" s="411"/>
      <c r="R20" s="217" t="b">
        <f t="shared" ref="R20:R39" si="9">AND(A20&gt;"",C20&lt;&gt;"",OR(B20="Un",C20&gt;B20),C20&lt;=O20)</f>
        <v>0</v>
      </c>
      <c r="S20" s="236">
        <f>VLOOKUP($A20,Skills!$A$2:$W$106,13,FALSE)</f>
        <v>250</v>
      </c>
      <c r="T20" s="236">
        <f>VLOOKUP($A20,Skills!$A$2:$W$106,14,FALSE)</f>
        <v>100</v>
      </c>
      <c r="U20" s="236">
        <f>VLOOKUP($A20,Skills!$A$2:$W$106,15,FALSE)</f>
        <v>200</v>
      </c>
      <c r="V20" s="236">
        <f>VLOOKUP($A20,Skills!$A$2:$W$106,16,FALSE)</f>
        <v>500</v>
      </c>
      <c r="W20" s="236">
        <f>VLOOKUP($A20,Skills!$A$2:$W$106,17,FALSE)</f>
        <v>950</v>
      </c>
      <c r="X20" s="236">
        <f>VLOOKUP($A20,Skills!$A$2:$W$106,18,FALSE)</f>
        <v>1450</v>
      </c>
      <c r="Y20" s="236">
        <f>VLOOKUP($A20,Skills!$A$2:$W$106,19,FALSE)</f>
        <v>2050</v>
      </c>
      <c r="Z20" s="236">
        <f>VLOOKUP($A20,Skills!$A$2:$W$106,20,FALSE)</f>
        <v>2800</v>
      </c>
      <c r="AA20" s="236">
        <f>VLOOKUP($A20,Skills!$A$2:$W$106,21,FALSE)</f>
        <v>3600</v>
      </c>
      <c r="AB20" s="236">
        <f>VLOOKUP($A20,Skills!$A$2:$W$106,22,FALSE)</f>
        <v>6300</v>
      </c>
      <c r="AC20" s="236">
        <f>VLOOKUP($A20,Skills!$A$2:$W$106,23,FALSE)</f>
        <v>8000</v>
      </c>
      <c r="AD20" s="235">
        <f>S20</f>
        <v>250</v>
      </c>
      <c r="AE20" s="235">
        <f t="shared" ref="AE20:AN20" si="10">AD20+T20</f>
        <v>350</v>
      </c>
      <c r="AF20" s="235">
        <f t="shared" si="10"/>
        <v>550</v>
      </c>
      <c r="AG20" s="235">
        <f t="shared" si="10"/>
        <v>1050</v>
      </c>
      <c r="AH20" s="235">
        <f t="shared" si="10"/>
        <v>2000</v>
      </c>
      <c r="AI20" s="235">
        <f t="shared" si="10"/>
        <v>3450</v>
      </c>
      <c r="AJ20" s="235">
        <f t="shared" si="10"/>
        <v>5500</v>
      </c>
      <c r="AK20" s="235">
        <f t="shared" si="10"/>
        <v>8300</v>
      </c>
      <c r="AL20" s="235">
        <f t="shared" si="10"/>
        <v>11900</v>
      </c>
      <c r="AM20" s="235">
        <f t="shared" si="10"/>
        <v>18200</v>
      </c>
      <c r="AN20" s="235">
        <f t="shared" si="10"/>
        <v>26200</v>
      </c>
    </row>
    <row r="21" spans="1:40" x14ac:dyDescent="0.2">
      <c r="A21" s="276" t="s">
        <v>1916</v>
      </c>
      <c r="B21" s="3" t="str">
        <f>IF(A21&gt;"",IF(ISERROR(VLOOKUP(A21,Skills!$A$2:$B$106,2,FALSE)),"Un",VLOOKUP(A21,Skills!$A$2:$B$206,2,FALSE)),"")</f>
        <v>Un</v>
      </c>
      <c r="C21" s="273"/>
      <c r="D21" s="273" t="s">
        <v>357</v>
      </c>
      <c r="E21" s="216" t="str">
        <f t="shared" si="3"/>
        <v/>
      </c>
      <c r="F21" s="216" t="str">
        <f t="shared" si="4"/>
        <v/>
      </c>
      <c r="G21" s="216" t="str">
        <f t="shared" si="5"/>
        <v/>
      </c>
      <c r="H21" s="274">
        <f>ROUND((K21*(0.9*VLOOKUP($A21,Skills!$A$2:$W$106,11,FALSE))-K21),0)</f>
        <v>0</v>
      </c>
      <c r="I21" s="275"/>
      <c r="J21" s="275"/>
      <c r="K21" s="216">
        <f t="shared" si="6"/>
        <v>0</v>
      </c>
      <c r="L21" s="216" t="str">
        <f>IF(R21,(P21*VLOOKUP($A21,Skills!$A$2:$W$106,9,FALSE))+IF(B21="Un",VLOOKUP($A21,Skills!$A$2:$W$106,10,FALSE),0),"")</f>
        <v/>
      </c>
      <c r="M21" s="216">
        <f t="shared" si="7"/>
        <v>150</v>
      </c>
      <c r="O21" s="412">
        <v>10</v>
      </c>
      <c r="P21" s="412">
        <f t="shared" si="8"/>
        <v>0</v>
      </c>
      <c r="Q21" s="411"/>
      <c r="R21" s="217" t="b">
        <f t="shared" si="9"/>
        <v>0</v>
      </c>
      <c r="S21" s="236">
        <f>VLOOKUP($A21,Skills!$A$2:$W$106,13,FALSE)</f>
        <v>250</v>
      </c>
      <c r="T21" s="236">
        <f>VLOOKUP($A21,Skills!$A$2:$W$106,14,FALSE)</f>
        <v>100</v>
      </c>
      <c r="U21" s="236">
        <f>VLOOKUP($A21,Skills!$A$2:$W$106,15,FALSE)</f>
        <v>200</v>
      </c>
      <c r="V21" s="236">
        <f>VLOOKUP($A21,Skills!$A$2:$W$106,16,FALSE)</f>
        <v>500</v>
      </c>
      <c r="W21" s="236">
        <f>VLOOKUP($A21,Skills!$A$2:$W$106,17,FALSE)</f>
        <v>1050</v>
      </c>
      <c r="X21" s="236">
        <f>VLOOKUP($A21,Skills!$A$2:$W$106,18,FALSE)</f>
        <v>1450</v>
      </c>
      <c r="Y21" s="236">
        <f>VLOOKUP($A21,Skills!$A$2:$W$106,19,FALSE)</f>
        <v>2100</v>
      </c>
      <c r="Z21" s="236">
        <f>VLOOKUP($A21,Skills!$A$2:$W$106,20,FALSE)</f>
        <v>2800</v>
      </c>
      <c r="AA21" s="236">
        <f>VLOOKUP($A21,Skills!$A$2:$W$106,21,FALSE)</f>
        <v>3900</v>
      </c>
      <c r="AB21" s="236">
        <f>VLOOKUP($A21,Skills!$A$2:$W$106,22,FALSE)</f>
        <v>4600</v>
      </c>
      <c r="AC21" s="236">
        <f>VLOOKUP($A21,Skills!$A$2:$W$106,23,FALSE)</f>
        <v>7000</v>
      </c>
      <c r="AD21" s="235">
        <f t="shared" ref="AD21:AD39" si="11">S21</f>
        <v>250</v>
      </c>
      <c r="AE21" s="235">
        <f t="shared" ref="AE21:AE39" si="12">AD21+T21</f>
        <v>350</v>
      </c>
      <c r="AF21" s="235">
        <f t="shared" ref="AF21:AF39" si="13">AE21+U21</f>
        <v>550</v>
      </c>
      <c r="AG21" s="235">
        <f t="shared" ref="AG21:AG39" si="14">AF21+V21</f>
        <v>1050</v>
      </c>
      <c r="AH21" s="235">
        <f t="shared" ref="AH21:AH39" si="15">AG21+W21</f>
        <v>2100</v>
      </c>
      <c r="AI21" s="235">
        <f t="shared" ref="AI21:AI39" si="16">AH21+X21</f>
        <v>3550</v>
      </c>
      <c r="AJ21" s="235">
        <f t="shared" ref="AJ21:AJ39" si="17">AI21+Y21</f>
        <v>5650</v>
      </c>
      <c r="AK21" s="235">
        <f t="shared" ref="AK21:AK39" si="18">AJ21+Z21</f>
        <v>8450</v>
      </c>
      <c r="AL21" s="235">
        <f t="shared" ref="AL21:AL39" si="19">AK21+AA21</f>
        <v>12350</v>
      </c>
      <c r="AM21" s="235">
        <f t="shared" ref="AM21:AM39" si="20">AL21+AB21</f>
        <v>16950</v>
      </c>
      <c r="AN21" s="235">
        <f t="shared" ref="AN21:AN39" si="21">AM21+AC21</f>
        <v>23950</v>
      </c>
    </row>
    <row r="22" spans="1:40" x14ac:dyDescent="0.2">
      <c r="A22" s="276" t="s">
        <v>591</v>
      </c>
      <c r="B22" s="3" t="str">
        <f>IF(A22&gt;"",IF(ISERROR(VLOOKUP(A22,Skills!$A$2:$B$106,2,FALSE)),"Un",VLOOKUP(A22,Skills!$A$2:$B$206,2,FALSE)),"")</f>
        <v>Un</v>
      </c>
      <c r="C22" s="273"/>
      <c r="D22" s="273" t="s">
        <v>356</v>
      </c>
      <c r="E22" s="216" t="str">
        <f t="shared" si="3"/>
        <v/>
      </c>
      <c r="F22" s="216" t="str">
        <f t="shared" si="4"/>
        <v/>
      </c>
      <c r="G22" s="216" t="str">
        <f t="shared" si="5"/>
        <v/>
      </c>
      <c r="H22" s="274">
        <f>ROUND((K22*(0.9*VLOOKUP($A22,Skills!$A$2:$W$106,11,FALSE))-K22),0)</f>
        <v>0</v>
      </c>
      <c r="I22" s="275"/>
      <c r="J22" s="275"/>
      <c r="K22" s="216">
        <f t="shared" si="6"/>
        <v>0</v>
      </c>
      <c r="L22" s="216" t="str">
        <f>IF(R22,(P22*VLOOKUP($A22,Skills!$A$2:$W$106,9,FALSE))+IF(B22="Un",VLOOKUP($A22,Skills!$A$2:$W$106,10,FALSE),0),"")</f>
        <v/>
      </c>
      <c r="M22" s="216">
        <f t="shared" si="7"/>
        <v>150</v>
      </c>
      <c r="O22" s="412">
        <v>10</v>
      </c>
      <c r="P22" s="412">
        <f t="shared" si="8"/>
        <v>0</v>
      </c>
      <c r="Q22" s="411"/>
      <c r="R22" s="217" t="b">
        <f t="shared" si="9"/>
        <v>0</v>
      </c>
      <c r="S22" s="236">
        <f>VLOOKUP($A22,Skills!$A$2:$W$106,13,FALSE)</f>
        <v>1000</v>
      </c>
      <c r="T22" s="236">
        <f>VLOOKUP($A22,Skills!$A$2:$W$106,14,FALSE)</f>
        <v>400</v>
      </c>
      <c r="U22" s="236">
        <f>VLOOKUP($A22,Skills!$A$2:$W$106,15,FALSE)</f>
        <v>1600</v>
      </c>
      <c r="V22" s="236">
        <f>VLOOKUP($A22,Skills!$A$2:$W$106,16,FALSE)</f>
        <v>3500</v>
      </c>
      <c r="W22" s="236">
        <f>VLOOKUP($A22,Skills!$A$2:$W$106,17,FALSE)</f>
        <v>5800</v>
      </c>
      <c r="X22" s="236">
        <f>VLOOKUP($A22,Skills!$A$2:$W$106,18,FALSE)</f>
        <v>8400</v>
      </c>
      <c r="Y22" s="236">
        <f>VLOOKUP($A22,Skills!$A$2:$W$106,19,FALSE)</f>
        <v>11400</v>
      </c>
      <c r="Z22" s="236">
        <f>VLOOKUP($A22,Skills!$A$2:$W$106,20,FALSE)</f>
        <v>14700</v>
      </c>
      <c r="AA22" s="236">
        <f>VLOOKUP($A22,Skills!$A$2:$W$106,21,FALSE)</f>
        <v>18500</v>
      </c>
      <c r="AB22" s="236">
        <f>VLOOKUP($A22,Skills!$A$2:$W$106,22,FALSE)</f>
        <v>22500</v>
      </c>
      <c r="AC22" s="236">
        <f>VLOOKUP($A22,Skills!$A$2:$W$106,23,FALSE)</f>
        <v>26750</v>
      </c>
      <c r="AD22" s="235">
        <f t="shared" si="11"/>
        <v>1000</v>
      </c>
      <c r="AE22" s="235">
        <f t="shared" si="12"/>
        <v>1400</v>
      </c>
      <c r="AF22" s="235">
        <f t="shared" si="13"/>
        <v>3000</v>
      </c>
      <c r="AG22" s="235">
        <f t="shared" si="14"/>
        <v>6500</v>
      </c>
      <c r="AH22" s="235">
        <f t="shared" si="15"/>
        <v>12300</v>
      </c>
      <c r="AI22" s="235">
        <f t="shared" si="16"/>
        <v>20700</v>
      </c>
      <c r="AJ22" s="235">
        <f t="shared" si="17"/>
        <v>32100</v>
      </c>
      <c r="AK22" s="235">
        <f t="shared" si="18"/>
        <v>46800</v>
      </c>
      <c r="AL22" s="235">
        <f t="shared" si="19"/>
        <v>65300</v>
      </c>
      <c r="AM22" s="235">
        <f t="shared" si="20"/>
        <v>87800</v>
      </c>
      <c r="AN22" s="235">
        <f t="shared" si="21"/>
        <v>114550</v>
      </c>
    </row>
    <row r="23" spans="1:40" x14ac:dyDescent="0.2">
      <c r="A23" s="276" t="s">
        <v>324</v>
      </c>
      <c r="B23" s="3" t="str">
        <f>IF(A23&gt;"",IF(ISERROR(VLOOKUP(A23,Skills!$A$2:$B$106,2,FALSE)),"Un",VLOOKUP(A23,Skills!$A$2:$B$206,2,FALSE)),"")</f>
        <v>Un</v>
      </c>
      <c r="C23" s="273"/>
      <c r="D23" s="273" t="s">
        <v>357</v>
      </c>
      <c r="E23" s="216" t="str">
        <f t="shared" si="3"/>
        <v/>
      </c>
      <c r="F23" s="216" t="str">
        <f t="shared" si="4"/>
        <v/>
      </c>
      <c r="G23" s="216" t="str">
        <f t="shared" si="5"/>
        <v/>
      </c>
      <c r="H23" s="274">
        <f>ROUND((K23*(0.9*VLOOKUP($A23,Skills!$A$2:$W$106,11,FALSE))-K23),0)</f>
        <v>0</v>
      </c>
      <c r="I23" s="275"/>
      <c r="J23" s="275"/>
      <c r="K23" s="216">
        <f t="shared" si="6"/>
        <v>0</v>
      </c>
      <c r="L23" s="216" t="str">
        <f>IF(R23,(P23*VLOOKUP($A23,Skills!$A$2:$W$106,9,FALSE))+IF(B23="Un",VLOOKUP($A23,Skills!$A$2:$W$106,10,FALSE),0),"")</f>
        <v/>
      </c>
      <c r="M23" s="216">
        <f t="shared" si="7"/>
        <v>150</v>
      </c>
      <c r="O23" s="412">
        <v>10</v>
      </c>
      <c r="P23" s="412">
        <f t="shared" si="8"/>
        <v>0</v>
      </c>
      <c r="Q23" s="411"/>
      <c r="R23" s="217" t="b">
        <f t="shared" si="9"/>
        <v>0</v>
      </c>
      <c r="S23" s="236">
        <f>VLOOKUP($A23,Skills!$A$2:$W$106,13,FALSE)</f>
        <v>800</v>
      </c>
      <c r="T23" s="236">
        <f>VLOOKUP($A23,Skills!$A$2:$W$106,14,FALSE)</f>
        <v>350</v>
      </c>
      <c r="U23" s="236">
        <f>VLOOKUP($A23,Skills!$A$2:$W$106,15,FALSE)</f>
        <v>1200</v>
      </c>
      <c r="V23" s="236">
        <f>VLOOKUP($A23,Skills!$A$2:$W$106,16,FALSE)</f>
        <v>2650</v>
      </c>
      <c r="W23" s="236">
        <f>VLOOKUP($A23,Skills!$A$2:$W$106,17,FALSE)</f>
        <v>4350</v>
      </c>
      <c r="X23" s="236">
        <f>VLOOKUP($A23,Skills!$A$2:$W$106,18,FALSE)</f>
        <v>6500</v>
      </c>
      <c r="Y23" s="236">
        <f>VLOOKUP($A23,Skills!$A$2:$W$106,19,FALSE)</f>
        <v>8650</v>
      </c>
      <c r="Z23" s="236">
        <f>VLOOKUP($A23,Skills!$A$2:$W$106,20,FALSE)</f>
        <v>11100</v>
      </c>
      <c r="AA23" s="236">
        <f>VLOOKUP($A23,Skills!$A$2:$W$106,21,FALSE)</f>
        <v>12750</v>
      </c>
      <c r="AB23" s="236">
        <f>VLOOKUP($A23,Skills!$A$2:$W$106,22,FALSE)</f>
        <v>14500</v>
      </c>
      <c r="AC23" s="236">
        <f>VLOOKUP($A23,Skills!$A$2:$W$106,23,FALSE)</f>
        <v>17000</v>
      </c>
      <c r="AD23" s="235">
        <f t="shared" si="11"/>
        <v>800</v>
      </c>
      <c r="AE23" s="235">
        <f t="shared" si="12"/>
        <v>1150</v>
      </c>
      <c r="AF23" s="235">
        <f t="shared" si="13"/>
        <v>2350</v>
      </c>
      <c r="AG23" s="235">
        <f t="shared" si="14"/>
        <v>5000</v>
      </c>
      <c r="AH23" s="235">
        <f t="shared" si="15"/>
        <v>9350</v>
      </c>
      <c r="AI23" s="235">
        <f t="shared" si="16"/>
        <v>15850</v>
      </c>
      <c r="AJ23" s="235">
        <f t="shared" si="17"/>
        <v>24500</v>
      </c>
      <c r="AK23" s="235">
        <f t="shared" si="18"/>
        <v>35600</v>
      </c>
      <c r="AL23" s="235">
        <f t="shared" si="19"/>
        <v>48350</v>
      </c>
      <c r="AM23" s="235">
        <f t="shared" si="20"/>
        <v>62850</v>
      </c>
      <c r="AN23" s="235">
        <f t="shared" si="21"/>
        <v>79850</v>
      </c>
    </row>
    <row r="24" spans="1:40" x14ac:dyDescent="0.2">
      <c r="A24" s="276" t="s">
        <v>159</v>
      </c>
      <c r="B24" s="3" t="str">
        <f>IF(A24&gt;"",IF(ISERROR(VLOOKUP(A24,Skills!$A$2:$B$106,2,FALSE)),"Un",VLOOKUP(A24,Skills!$A$2:$B$206,2,FALSE)),"")</f>
        <v>Un</v>
      </c>
      <c r="C24" s="273"/>
      <c r="D24" s="273"/>
      <c r="E24" s="216" t="str">
        <f t="shared" si="3"/>
        <v/>
      </c>
      <c r="F24" s="216" t="str">
        <f t="shared" si="4"/>
        <v/>
      </c>
      <c r="G24" s="216" t="str">
        <f t="shared" si="5"/>
        <v/>
      </c>
      <c r="H24" s="274">
        <f>ROUND((K24*(0.9*VLOOKUP($A24,Skills!$A$2:$W$106,11,FALSE))-K24),0)</f>
        <v>0</v>
      </c>
      <c r="I24" s="275"/>
      <c r="J24" s="275"/>
      <c r="K24" s="216">
        <f t="shared" si="6"/>
        <v>0</v>
      </c>
      <c r="L24" s="216" t="str">
        <f>IF(R24,(P24*VLOOKUP($A24,Skills!$A$2:$W$106,9,FALSE))+IF(B24="Un",VLOOKUP($A24,Skills!$A$2:$W$106,10,FALSE),0),"")</f>
        <v/>
      </c>
      <c r="M24" s="216">
        <f t="shared" si="7"/>
        <v>150</v>
      </c>
      <c r="O24" s="412">
        <v>10</v>
      </c>
      <c r="P24" s="412">
        <f t="shared" si="8"/>
        <v>0</v>
      </c>
      <c r="Q24" s="411"/>
      <c r="R24" s="217" t="b">
        <f t="shared" si="9"/>
        <v>0</v>
      </c>
      <c r="S24" s="236">
        <f>VLOOKUP($A24,Skills!$A$2:$W$106,13,FALSE)</f>
        <v>600</v>
      </c>
      <c r="T24" s="236">
        <f>VLOOKUP($A24,Skills!$A$2:$W$106,14,FALSE)</f>
        <v>250</v>
      </c>
      <c r="U24" s="236">
        <f>VLOOKUP($A24,Skills!$A$2:$W$106,15,FALSE)</f>
        <v>800</v>
      </c>
      <c r="V24" s="236">
        <f>VLOOKUP($A24,Skills!$A$2:$W$106,16,FALSE)</f>
        <v>1650</v>
      </c>
      <c r="W24" s="236">
        <f>VLOOKUP($A24,Skills!$A$2:$W$106,17,FALSE)</f>
        <v>2750</v>
      </c>
      <c r="X24" s="236">
        <f>VLOOKUP($A24,Skills!$A$2:$W$106,18,FALSE)</f>
        <v>4100</v>
      </c>
      <c r="Y24" s="236">
        <f>VLOOKUP($A24,Skills!$A$2:$W$106,19,FALSE)</f>
        <v>5650</v>
      </c>
      <c r="Z24" s="236">
        <f>VLOOKUP($A24,Skills!$A$2:$W$106,20,FALSE)</f>
        <v>7350</v>
      </c>
      <c r="AA24" s="236">
        <f>VLOOKUP($A24,Skills!$A$2:$W$106,21,FALSE)</f>
        <v>9300</v>
      </c>
      <c r="AB24" s="236">
        <f>VLOOKUP($A24,Skills!$A$2:$W$106,22,FALSE)</f>
        <v>11400</v>
      </c>
      <c r="AC24" s="236">
        <f>VLOOKUP($A24,Skills!$A$2:$W$106,23,FALSE)</f>
        <v>13250</v>
      </c>
      <c r="AD24" s="235">
        <f t="shared" si="11"/>
        <v>600</v>
      </c>
      <c r="AE24" s="235">
        <f t="shared" si="12"/>
        <v>850</v>
      </c>
      <c r="AF24" s="235">
        <f t="shared" si="13"/>
        <v>1650</v>
      </c>
      <c r="AG24" s="235">
        <f t="shared" si="14"/>
        <v>3300</v>
      </c>
      <c r="AH24" s="235">
        <f t="shared" si="15"/>
        <v>6050</v>
      </c>
      <c r="AI24" s="235">
        <f t="shared" si="16"/>
        <v>10150</v>
      </c>
      <c r="AJ24" s="235">
        <f t="shared" si="17"/>
        <v>15800</v>
      </c>
      <c r="AK24" s="235">
        <f t="shared" si="18"/>
        <v>23150</v>
      </c>
      <c r="AL24" s="235">
        <f t="shared" si="19"/>
        <v>32450</v>
      </c>
      <c r="AM24" s="235">
        <f t="shared" si="20"/>
        <v>43850</v>
      </c>
      <c r="AN24" s="235">
        <f t="shared" si="21"/>
        <v>57100</v>
      </c>
    </row>
    <row r="25" spans="1:40" x14ac:dyDescent="0.2">
      <c r="A25" s="276" t="s">
        <v>600</v>
      </c>
      <c r="B25" s="3" t="str">
        <f>IF(A25&gt;"",IF(ISERROR(VLOOKUP(A25,Skills!$A$2:$B$106,2,FALSE)),"Un",VLOOKUP(A25,Skills!$A$2:$B$206,2,FALSE)),"")</f>
        <v>Un</v>
      </c>
      <c r="C25" s="273"/>
      <c r="D25" s="273"/>
      <c r="E25" s="216" t="str">
        <f t="shared" si="3"/>
        <v/>
      </c>
      <c r="F25" s="216" t="str">
        <f t="shared" si="4"/>
        <v/>
      </c>
      <c r="G25" s="216" t="str">
        <f t="shared" si="5"/>
        <v/>
      </c>
      <c r="H25" s="274">
        <f>ROUND((K25*(0.9*VLOOKUP($A25,Skills!$A$2:$W$106,11,FALSE))-K25),0)</f>
        <v>0</v>
      </c>
      <c r="I25" s="275"/>
      <c r="J25" s="275"/>
      <c r="K25" s="216">
        <f t="shared" si="6"/>
        <v>0</v>
      </c>
      <c r="L25" s="216" t="str">
        <f>IF(R25,(P25*VLOOKUP($A25,Skills!$A$2:$W$106,9,FALSE))+IF(B25="Un",VLOOKUP($A25,Skills!$A$2:$W$106,10,FALSE),0),"")</f>
        <v/>
      </c>
      <c r="M25" s="216">
        <f t="shared" si="7"/>
        <v>150</v>
      </c>
      <c r="O25" s="412">
        <v>10</v>
      </c>
      <c r="P25" s="412">
        <f t="shared" si="8"/>
        <v>0</v>
      </c>
      <c r="Q25" s="411"/>
      <c r="R25" s="217" t="b">
        <f t="shared" si="9"/>
        <v>0</v>
      </c>
      <c r="S25" s="236">
        <f>VLOOKUP($A25,Skills!$A$2:$W$106,13,FALSE)</f>
        <v>300</v>
      </c>
      <c r="T25" s="236">
        <f>VLOOKUP($A25,Skills!$A$2:$W$106,14,FALSE)</f>
        <v>125</v>
      </c>
      <c r="U25" s="236">
        <f>VLOOKUP($A25,Skills!$A$2:$W$106,15,FALSE)</f>
        <v>300</v>
      </c>
      <c r="V25" s="236">
        <f>VLOOKUP($A25,Skills!$A$2:$W$106,16,FALSE)</f>
        <v>850</v>
      </c>
      <c r="W25" s="236">
        <f>VLOOKUP($A25,Skills!$A$2:$W$106,17,FALSE)</f>
        <v>1400</v>
      </c>
      <c r="X25" s="236">
        <f>VLOOKUP($A25,Skills!$A$2:$W$106,18,FALSE)</f>
        <v>2200</v>
      </c>
      <c r="Y25" s="236">
        <f>VLOOKUP($A25,Skills!$A$2:$W$106,19,FALSE)</f>
        <v>3400</v>
      </c>
      <c r="Z25" s="236">
        <f>VLOOKUP($A25,Skills!$A$2:$W$106,20,FALSE)</f>
        <v>4200</v>
      </c>
      <c r="AA25" s="236">
        <f>VLOOKUP($A25,Skills!$A$2:$W$106,21,FALSE)</f>
        <v>5300</v>
      </c>
      <c r="AB25" s="236">
        <f>VLOOKUP($A25,Skills!$A$2:$W$106,22,FALSE)</f>
        <v>6800</v>
      </c>
      <c r="AC25" s="236">
        <f>VLOOKUP($A25,Skills!$A$2:$W$106,23,FALSE)</f>
        <v>9500</v>
      </c>
      <c r="AD25" s="235">
        <f t="shared" si="11"/>
        <v>300</v>
      </c>
      <c r="AE25" s="235">
        <f t="shared" si="12"/>
        <v>425</v>
      </c>
      <c r="AF25" s="235">
        <f t="shared" si="13"/>
        <v>725</v>
      </c>
      <c r="AG25" s="235">
        <f t="shared" si="14"/>
        <v>1575</v>
      </c>
      <c r="AH25" s="235">
        <f t="shared" si="15"/>
        <v>2975</v>
      </c>
      <c r="AI25" s="235">
        <f t="shared" si="16"/>
        <v>5175</v>
      </c>
      <c r="AJ25" s="235">
        <f t="shared" si="17"/>
        <v>8575</v>
      </c>
      <c r="AK25" s="235">
        <f t="shared" si="18"/>
        <v>12775</v>
      </c>
      <c r="AL25" s="235">
        <f t="shared" si="19"/>
        <v>18075</v>
      </c>
      <c r="AM25" s="235">
        <f t="shared" si="20"/>
        <v>24875</v>
      </c>
      <c r="AN25" s="235">
        <f t="shared" si="21"/>
        <v>34375</v>
      </c>
    </row>
    <row r="26" spans="1:40" x14ac:dyDescent="0.2">
      <c r="A26" s="276" t="s">
        <v>601</v>
      </c>
      <c r="B26" s="3" t="str">
        <f>IF(A26&gt;"",IF(ISERROR(VLOOKUP(A26,Skills!$A$2:$B$106,2,FALSE)),"Un",VLOOKUP(A26,Skills!$A$2:$B$206,2,FALSE)),"")</f>
        <v>Un</v>
      </c>
      <c r="C26" s="273"/>
      <c r="D26" s="273"/>
      <c r="E26" s="216" t="str">
        <f t="shared" si="3"/>
        <v/>
      </c>
      <c r="F26" s="216" t="str">
        <f t="shared" si="4"/>
        <v/>
      </c>
      <c r="G26" s="216" t="str">
        <f t="shared" si="5"/>
        <v/>
      </c>
      <c r="H26" s="274">
        <f>ROUND((K26*(0.9*VLOOKUP($A26,Skills!$A$2:$W$106,11,FALSE))-K26),0)</f>
        <v>0</v>
      </c>
      <c r="I26" s="275"/>
      <c r="J26" s="275"/>
      <c r="K26" s="216">
        <f t="shared" si="6"/>
        <v>0</v>
      </c>
      <c r="L26" s="216" t="str">
        <f>IF(R26,(P26*VLOOKUP($A26,Skills!$A$2:$W$106,9,FALSE))+IF(B26="Un",VLOOKUP($A26,Skills!$A$2:$W$106,10,FALSE),0),"")</f>
        <v/>
      </c>
      <c r="M26" s="216">
        <f t="shared" si="7"/>
        <v>150</v>
      </c>
      <c r="O26" s="412">
        <v>10</v>
      </c>
      <c r="P26" s="412">
        <f t="shared" si="8"/>
        <v>0</v>
      </c>
      <c r="Q26" s="411"/>
      <c r="R26" s="217" t="b">
        <f t="shared" si="9"/>
        <v>0</v>
      </c>
      <c r="S26" s="236">
        <f>VLOOKUP($A26,Skills!$A$2:$W$106,13,FALSE)</f>
        <v>400</v>
      </c>
      <c r="T26" s="236">
        <f>VLOOKUP($A26,Skills!$A$2:$W$106,14,FALSE)</f>
        <v>150</v>
      </c>
      <c r="U26" s="236">
        <f>VLOOKUP($A26,Skills!$A$2:$W$106,15,FALSE)</f>
        <v>400</v>
      </c>
      <c r="V26" s="236">
        <f>VLOOKUP($A26,Skills!$A$2:$W$106,16,FALSE)</f>
        <v>900</v>
      </c>
      <c r="W26" s="236">
        <f>VLOOKUP($A26,Skills!$A$2:$W$106,17,FALSE)</f>
        <v>1550</v>
      </c>
      <c r="X26" s="236">
        <f>VLOOKUP($A26,Skills!$A$2:$W$106,18,FALSE)</f>
        <v>2400</v>
      </c>
      <c r="Y26" s="236">
        <f>VLOOKUP($A26,Skills!$A$2:$W$106,19,FALSE)</f>
        <v>3350</v>
      </c>
      <c r="Z26" s="236">
        <f>VLOOKUP($A26,Skills!$A$2:$W$106,20,FALSE)</f>
        <v>4450</v>
      </c>
      <c r="AA26" s="236">
        <f>VLOOKUP($A26,Skills!$A$2:$W$106,21,FALSE)</f>
        <v>5750</v>
      </c>
      <c r="AB26" s="236">
        <f>VLOOKUP($A26,Skills!$A$2:$W$106,22,FALSE)</f>
        <v>7100</v>
      </c>
      <c r="AC26" s="236">
        <f>VLOOKUP($A26,Skills!$A$2:$W$106,23,FALSE)</f>
        <v>10500</v>
      </c>
      <c r="AD26" s="235">
        <f t="shared" si="11"/>
        <v>400</v>
      </c>
      <c r="AE26" s="235">
        <f t="shared" si="12"/>
        <v>550</v>
      </c>
      <c r="AF26" s="235">
        <f t="shared" si="13"/>
        <v>950</v>
      </c>
      <c r="AG26" s="235">
        <f t="shared" si="14"/>
        <v>1850</v>
      </c>
      <c r="AH26" s="235">
        <f t="shared" si="15"/>
        <v>3400</v>
      </c>
      <c r="AI26" s="235">
        <f t="shared" si="16"/>
        <v>5800</v>
      </c>
      <c r="AJ26" s="235">
        <f t="shared" si="17"/>
        <v>9150</v>
      </c>
      <c r="AK26" s="235">
        <f t="shared" si="18"/>
        <v>13600</v>
      </c>
      <c r="AL26" s="235">
        <f t="shared" si="19"/>
        <v>19350</v>
      </c>
      <c r="AM26" s="235">
        <f t="shared" si="20"/>
        <v>26450</v>
      </c>
      <c r="AN26" s="235">
        <f t="shared" si="21"/>
        <v>36950</v>
      </c>
    </row>
    <row r="27" spans="1:40" x14ac:dyDescent="0.2">
      <c r="A27" s="276" t="s">
        <v>162</v>
      </c>
      <c r="B27" s="3" t="str">
        <f>IF(A27&gt;"",IF(ISERROR(VLOOKUP(A27,Skills!$A$2:$B$106,2,FALSE)),"Un",VLOOKUP(A27,Skills!$A$2:$B$206,2,FALSE)),"")</f>
        <v>Un</v>
      </c>
      <c r="C27" s="273"/>
      <c r="D27" s="273"/>
      <c r="E27" s="216" t="str">
        <f t="shared" si="3"/>
        <v/>
      </c>
      <c r="F27" s="216" t="str">
        <f t="shared" si="4"/>
        <v/>
      </c>
      <c r="G27" s="216" t="str">
        <f t="shared" si="5"/>
        <v/>
      </c>
      <c r="H27" s="274">
        <f>ROUND((K27*(0.9*VLOOKUP($A27,Skills!$A$2:$W$106,11,FALSE))-K27),0)</f>
        <v>0</v>
      </c>
      <c r="I27" s="275"/>
      <c r="J27" s="275"/>
      <c r="K27" s="216">
        <f t="shared" si="6"/>
        <v>0</v>
      </c>
      <c r="L27" s="216" t="str">
        <f>IF(R27,(P27*VLOOKUP($A27,Skills!$A$2:$W$106,9,FALSE))+IF(B27="Un",VLOOKUP($A27,Skills!$A$2:$W$106,10,FALSE),0),"")</f>
        <v/>
      </c>
      <c r="M27" s="216">
        <f t="shared" si="7"/>
        <v>150</v>
      </c>
      <c r="O27" s="412">
        <v>10</v>
      </c>
      <c r="P27" s="412">
        <f t="shared" si="8"/>
        <v>0</v>
      </c>
      <c r="Q27" s="411"/>
      <c r="R27" s="217" t="b">
        <f t="shared" si="9"/>
        <v>0</v>
      </c>
      <c r="S27" s="236">
        <f>VLOOKUP($A27,Skills!$A$2:$W$106,13,FALSE)</f>
        <v>500</v>
      </c>
      <c r="T27" s="236">
        <f>VLOOKUP($A27,Skills!$A$2:$W$106,14,FALSE)</f>
        <v>200</v>
      </c>
      <c r="U27" s="236">
        <f>VLOOKUP($A27,Skills!$A$2:$W$106,15,FALSE)</f>
        <v>600</v>
      </c>
      <c r="V27" s="236">
        <f>VLOOKUP($A27,Skills!$A$2:$W$106,16,FALSE)</f>
        <v>1400</v>
      </c>
      <c r="W27" s="236">
        <f>VLOOKUP($A27,Skills!$A$2:$W$106,17,FALSE)</f>
        <v>2400</v>
      </c>
      <c r="X27" s="236">
        <f>VLOOKUP($A27,Skills!$A$2:$W$106,18,FALSE)</f>
        <v>3600</v>
      </c>
      <c r="Y27" s="236">
        <f>VLOOKUP($A27,Skills!$A$2:$W$106,19,FALSE)</f>
        <v>5000</v>
      </c>
      <c r="Z27" s="236">
        <f>VLOOKUP($A27,Skills!$A$2:$W$106,20,FALSE)</f>
        <v>6600</v>
      </c>
      <c r="AA27" s="236">
        <f>VLOOKUP($A27,Skills!$A$2:$W$106,21,FALSE)</f>
        <v>8400</v>
      </c>
      <c r="AB27" s="236">
        <f>VLOOKUP($A27,Skills!$A$2:$W$106,22,FALSE)</f>
        <v>10400</v>
      </c>
      <c r="AC27" s="236">
        <f>VLOOKUP($A27,Skills!$A$2:$W$106,23,FALSE)</f>
        <v>12600</v>
      </c>
      <c r="AD27" s="235">
        <f t="shared" si="11"/>
        <v>500</v>
      </c>
      <c r="AE27" s="235">
        <f t="shared" si="12"/>
        <v>700</v>
      </c>
      <c r="AF27" s="235">
        <f t="shared" si="13"/>
        <v>1300</v>
      </c>
      <c r="AG27" s="235">
        <f t="shared" si="14"/>
        <v>2700</v>
      </c>
      <c r="AH27" s="235">
        <f t="shared" si="15"/>
        <v>5100</v>
      </c>
      <c r="AI27" s="235">
        <f t="shared" si="16"/>
        <v>8700</v>
      </c>
      <c r="AJ27" s="235">
        <f t="shared" si="17"/>
        <v>13700</v>
      </c>
      <c r="AK27" s="235">
        <f t="shared" si="18"/>
        <v>20300</v>
      </c>
      <c r="AL27" s="235">
        <f t="shared" si="19"/>
        <v>28700</v>
      </c>
      <c r="AM27" s="235">
        <f t="shared" si="20"/>
        <v>39100</v>
      </c>
      <c r="AN27" s="235">
        <f t="shared" si="21"/>
        <v>51700</v>
      </c>
    </row>
    <row r="28" spans="1:40" x14ac:dyDescent="0.2">
      <c r="A28" s="276" t="s">
        <v>161</v>
      </c>
      <c r="B28" s="3" t="str">
        <f>IF(A28&gt;"",IF(ISERROR(VLOOKUP(A28,Skills!$A$2:$B$106,2,FALSE)),"Un",VLOOKUP(A28,Skills!$A$2:$B$206,2,FALSE)),"")</f>
        <v>Un</v>
      </c>
      <c r="C28" s="273"/>
      <c r="D28" s="273"/>
      <c r="E28" s="216" t="str">
        <f t="shared" si="3"/>
        <v/>
      </c>
      <c r="F28" s="216" t="str">
        <f t="shared" si="4"/>
        <v/>
      </c>
      <c r="G28" s="216" t="str">
        <f t="shared" si="5"/>
        <v/>
      </c>
      <c r="H28" s="274">
        <f>ROUND((K28*(0.9*VLOOKUP($A28,Skills!$A$2:$W$106,11,FALSE))-K28),0)</f>
        <v>0</v>
      </c>
      <c r="I28" s="275"/>
      <c r="J28" s="275"/>
      <c r="K28" s="216">
        <f t="shared" si="6"/>
        <v>0</v>
      </c>
      <c r="L28" s="216" t="str">
        <f>IF(R28,(P28*VLOOKUP($A28,Skills!$A$2:$W$106,9,FALSE))+IF(B28="Un",VLOOKUP($A28,Skills!$A$2:$W$106,10,FALSE),0),"")</f>
        <v/>
      </c>
      <c r="M28" s="216">
        <f>(P28+IF(B28="Un",1,0))*150</f>
        <v>150</v>
      </c>
      <c r="O28" s="412">
        <v>10</v>
      </c>
      <c r="P28" s="412">
        <f t="shared" si="8"/>
        <v>0</v>
      </c>
      <c r="Q28" s="411"/>
      <c r="R28" s="217" t="b">
        <f t="shared" si="9"/>
        <v>0</v>
      </c>
      <c r="S28" s="236">
        <f>VLOOKUP($A28,Skills!$A$2:$W$106,13,FALSE)</f>
        <v>750</v>
      </c>
      <c r="T28" s="236">
        <f>VLOOKUP($A28,Skills!$A$2:$W$106,14,FALSE)</f>
        <v>300</v>
      </c>
      <c r="U28" s="236">
        <f>VLOOKUP($A28,Skills!$A$2:$W$106,15,FALSE)</f>
        <v>1050</v>
      </c>
      <c r="V28" s="236">
        <f>VLOOKUP($A28,Skills!$A$2:$W$106,16,FALSE)</f>
        <v>2350</v>
      </c>
      <c r="W28" s="236">
        <f>VLOOKUP($A28,Skills!$A$2:$W$106,17,FALSE)</f>
        <v>4000</v>
      </c>
      <c r="X28" s="236">
        <f>VLOOKUP($A28,Skills!$A$2:$W$106,18,FALSE)</f>
        <v>5750</v>
      </c>
      <c r="Y28" s="236">
        <f>VLOOKUP($A28,Skills!$A$2:$W$106,19,FALSE)</f>
        <v>7900</v>
      </c>
      <c r="Z28" s="236">
        <f>VLOOKUP($A28,Skills!$A$2:$W$106,20,FALSE)</f>
        <v>10250</v>
      </c>
      <c r="AA28" s="236">
        <f>VLOOKUP($A28,Skills!$A$2:$W$106,21,FALSE)</f>
        <v>12900</v>
      </c>
      <c r="AB28" s="236">
        <f>VLOOKUP($A28,Skills!$A$2:$W$106,22,FALSE)</f>
        <v>14850</v>
      </c>
      <c r="AC28" s="236">
        <f>VLOOKUP($A28,Skills!$A$2:$W$106,23,FALSE)</f>
        <v>16000</v>
      </c>
      <c r="AD28" s="235">
        <f>S28</f>
        <v>750</v>
      </c>
      <c r="AE28" s="235">
        <f t="shared" ref="AE28:AN33" si="22">AD28+T28</f>
        <v>1050</v>
      </c>
      <c r="AF28" s="235">
        <f t="shared" si="22"/>
        <v>2100</v>
      </c>
      <c r="AG28" s="235">
        <f t="shared" si="22"/>
        <v>4450</v>
      </c>
      <c r="AH28" s="235">
        <f t="shared" si="22"/>
        <v>8450</v>
      </c>
      <c r="AI28" s="235">
        <f t="shared" si="22"/>
        <v>14200</v>
      </c>
      <c r="AJ28" s="235">
        <f t="shared" si="22"/>
        <v>22100</v>
      </c>
      <c r="AK28" s="235">
        <f t="shared" si="22"/>
        <v>32350</v>
      </c>
      <c r="AL28" s="235">
        <f t="shared" si="22"/>
        <v>45250</v>
      </c>
      <c r="AM28" s="235">
        <f t="shared" si="22"/>
        <v>60100</v>
      </c>
      <c r="AN28" s="235">
        <f t="shared" si="22"/>
        <v>76100</v>
      </c>
    </row>
    <row r="29" spans="1:40" x14ac:dyDescent="0.2">
      <c r="A29" s="276" t="s">
        <v>317</v>
      </c>
      <c r="B29" s="3" t="str">
        <f>IF(A29&gt;"",IF(ISERROR(VLOOKUP(A29,Skills!$A$2:$B$106,2,FALSE)),"Un",VLOOKUP(A29,Skills!$A$2:$B$206,2,FALSE)),"")</f>
        <v>Un</v>
      </c>
      <c r="C29" s="273"/>
      <c r="D29" s="273"/>
      <c r="E29" s="216" t="str">
        <f t="shared" ref="E29:E30" si="23">IF($R29,K29+H29,"")</f>
        <v/>
      </c>
      <c r="F29" s="216" t="str">
        <f t="shared" ref="F29:F30" si="24">IF($R29,L29+I29,"")</f>
        <v/>
      </c>
      <c r="G29" s="216" t="str">
        <f t="shared" ref="G29:G30" si="25">IF($R29,M29+J29,"")</f>
        <v/>
      </c>
      <c r="H29" s="274">
        <f>ROUND((K29*(0.9*VLOOKUP($A29,Skills!$A$2:$W$106,11,FALSE))-K29),0)</f>
        <v>0</v>
      </c>
      <c r="I29" s="275"/>
      <c r="J29" s="275"/>
      <c r="K29" s="216">
        <f t="shared" ref="K29:K30" si="26">IF(R29,IF(Q29&gt;"",P29*Q29,SUMIF($AD$19:$AN$19,$C29,$AD29:$AN29)-SUMIF($AD$19:$AN$19,$B29,$AD29:$AN29)),0)</f>
        <v>0</v>
      </c>
      <c r="L29" s="216" t="str">
        <f>IF(R29,(P29*VLOOKUP($A29,Skills!$A$2:$W$106,9,FALSE))+IF(B29="Un",VLOOKUP($A29,Skills!$A$2:$W$106,10,FALSE),0),"")</f>
        <v/>
      </c>
      <c r="M29" s="216">
        <f t="shared" ref="M29:M30" si="27">(P29+IF(B29="Un",1,0))*150</f>
        <v>150</v>
      </c>
      <c r="O29" s="412">
        <v>10</v>
      </c>
      <c r="P29" s="412">
        <f t="shared" ref="P29:P30" si="28">IF(R29,(C29*(C29+1)/2)-IF(B29="Un",0,B29*(B29+1)/2),0)</f>
        <v>0</v>
      </c>
      <c r="Q29" s="411"/>
      <c r="R29" s="217" t="b">
        <f t="shared" ref="R29:R30" si="29">AND(A29&gt;"",C29&lt;&gt;"",OR(B29="Un",C29&gt;B29),C29&lt;=O29)</f>
        <v>0</v>
      </c>
      <c r="S29" s="236">
        <f>VLOOKUP($A29,Skills!$A$2:$W$106,13,FALSE)</f>
        <v>300</v>
      </c>
      <c r="T29" s="236">
        <f>VLOOKUP($A29,Skills!$A$2:$W$106,14,FALSE)</f>
        <v>125</v>
      </c>
      <c r="U29" s="236">
        <f>VLOOKUP($A29,Skills!$A$2:$W$106,15,FALSE)</f>
        <v>350</v>
      </c>
      <c r="V29" s="236">
        <f>VLOOKUP($A29,Skills!$A$2:$W$106,16,FALSE)</f>
        <v>950</v>
      </c>
      <c r="W29" s="236">
        <f>VLOOKUP($A29,Skills!$A$2:$W$106,17,FALSE)</f>
        <v>1500</v>
      </c>
      <c r="X29" s="236">
        <f>VLOOKUP($A29,Skills!$A$2:$W$106,18,FALSE)</f>
        <v>2350</v>
      </c>
      <c r="Y29" s="236">
        <f>VLOOKUP($A29,Skills!$A$2:$W$106,19,FALSE)</f>
        <v>3100</v>
      </c>
      <c r="Z29" s="236">
        <f>VLOOKUP($A29,Skills!$A$2:$W$106,20,FALSE)</f>
        <v>4150</v>
      </c>
      <c r="AA29" s="236">
        <f>VLOOKUP($A29,Skills!$A$2:$W$106,21,FALSE)</f>
        <v>5400</v>
      </c>
      <c r="AB29" s="236">
        <f>VLOOKUP($A29,Skills!$A$2:$W$106,22,FALSE)</f>
        <v>6750</v>
      </c>
      <c r="AC29" s="236">
        <f>VLOOKUP($A29,Skills!$A$2:$W$106,23,FALSE)</f>
        <v>10000</v>
      </c>
      <c r="AD29" s="235">
        <f t="shared" ref="AD29:AD30" si="30">S29</f>
        <v>300</v>
      </c>
      <c r="AE29" s="235">
        <f t="shared" ref="AE29:AE30" si="31">AD29+T29</f>
        <v>425</v>
      </c>
      <c r="AF29" s="235">
        <f t="shared" ref="AF29:AF30" si="32">AE29+U29</f>
        <v>775</v>
      </c>
      <c r="AG29" s="235">
        <f t="shared" ref="AG29:AG30" si="33">AF29+V29</f>
        <v>1725</v>
      </c>
      <c r="AH29" s="235">
        <f t="shared" ref="AH29:AH30" si="34">AG29+W29</f>
        <v>3225</v>
      </c>
      <c r="AI29" s="235">
        <f t="shared" ref="AI29:AI30" si="35">AH29+X29</f>
        <v>5575</v>
      </c>
      <c r="AJ29" s="235">
        <f t="shared" ref="AJ29:AJ30" si="36">AI29+Y29</f>
        <v>8675</v>
      </c>
      <c r="AK29" s="235">
        <f t="shared" ref="AK29:AK30" si="37">AJ29+Z29</f>
        <v>12825</v>
      </c>
      <c r="AL29" s="235">
        <f t="shared" ref="AL29:AL30" si="38">AK29+AA29</f>
        <v>18225</v>
      </c>
      <c r="AM29" s="235">
        <f t="shared" ref="AM29:AM30" si="39">AL29+AB29</f>
        <v>24975</v>
      </c>
      <c r="AN29" s="235">
        <f t="shared" ref="AN29:AN30" si="40">AM29+AC29</f>
        <v>34975</v>
      </c>
    </row>
    <row r="30" spans="1:40" x14ac:dyDescent="0.2">
      <c r="A30" s="276" t="s">
        <v>158</v>
      </c>
      <c r="B30" s="3" t="str">
        <f>IF(A30&gt;"",IF(ISERROR(VLOOKUP(A30,Skills!$A$2:$B$106,2,FALSE)),"Un",VLOOKUP(A30,Skills!$A$2:$B$206,2,FALSE)),"")</f>
        <v>Un</v>
      </c>
      <c r="C30" s="273"/>
      <c r="D30" s="273"/>
      <c r="E30" s="216" t="str">
        <f t="shared" si="23"/>
        <v/>
      </c>
      <c r="F30" s="216" t="str">
        <f t="shared" si="24"/>
        <v/>
      </c>
      <c r="G30" s="216" t="str">
        <f t="shared" si="25"/>
        <v/>
      </c>
      <c r="H30" s="274">
        <f>ROUND((K30*(0.9*VLOOKUP($A30,Skills!$A$2:$W$106,11,FALSE))-K30),0)</f>
        <v>0</v>
      </c>
      <c r="I30" s="275"/>
      <c r="J30" s="275"/>
      <c r="K30" s="216">
        <f t="shared" si="26"/>
        <v>0</v>
      </c>
      <c r="L30" s="216" t="str">
        <f>IF(R30,(P30*VLOOKUP($A30,Skills!$A$2:$W$106,9,FALSE))+IF(B30="Un",VLOOKUP($A30,Skills!$A$2:$W$106,10,FALSE),0),"")</f>
        <v/>
      </c>
      <c r="M30" s="216">
        <f t="shared" si="27"/>
        <v>150</v>
      </c>
      <c r="O30" s="412">
        <v>10</v>
      </c>
      <c r="P30" s="412">
        <f t="shared" si="28"/>
        <v>0</v>
      </c>
      <c r="Q30" s="411"/>
      <c r="R30" s="217" t="b">
        <f t="shared" si="29"/>
        <v>0</v>
      </c>
      <c r="S30" s="236">
        <f>VLOOKUP($A30,Skills!$A$2:$W$106,13,FALSE)</f>
        <v>600</v>
      </c>
      <c r="T30" s="236">
        <f>VLOOKUP($A30,Skills!$A$2:$W$106,14,FALSE)</f>
        <v>250</v>
      </c>
      <c r="U30" s="236">
        <f>VLOOKUP($A30,Skills!$A$2:$W$106,15,FALSE)</f>
        <v>750</v>
      </c>
      <c r="V30" s="236">
        <f>VLOOKUP($A30,Skills!$A$2:$W$106,16,FALSE)</f>
        <v>1700</v>
      </c>
      <c r="W30" s="236">
        <f>VLOOKUP($A30,Skills!$A$2:$W$106,17,FALSE)</f>
        <v>2900</v>
      </c>
      <c r="X30" s="236">
        <f>VLOOKUP($A30,Skills!$A$2:$W$106,18,FALSE)</f>
        <v>4200</v>
      </c>
      <c r="Y30" s="236">
        <f>VLOOKUP($A30,Skills!$A$2:$W$106,19,FALSE)</f>
        <v>5750</v>
      </c>
      <c r="Z30" s="236">
        <f>VLOOKUP($A30,Skills!$A$2:$W$106,20,FALSE)</f>
        <v>7550</v>
      </c>
      <c r="AA30" s="236">
        <f>VLOOKUP($A30,Skills!$A$2:$W$106,21,FALSE)</f>
        <v>9500</v>
      </c>
      <c r="AB30" s="236">
        <f>VLOOKUP($A30,Skills!$A$2:$W$106,22,FALSE)</f>
        <v>11700</v>
      </c>
      <c r="AC30" s="236">
        <f>VLOOKUP($A30,Skills!$A$2:$W$106,23,FALSE)</f>
        <v>14100</v>
      </c>
      <c r="AD30" s="235">
        <f t="shared" si="30"/>
        <v>600</v>
      </c>
      <c r="AE30" s="235">
        <f t="shared" si="31"/>
        <v>850</v>
      </c>
      <c r="AF30" s="235">
        <f t="shared" si="32"/>
        <v>1600</v>
      </c>
      <c r="AG30" s="235">
        <f t="shared" si="33"/>
        <v>3300</v>
      </c>
      <c r="AH30" s="235">
        <f t="shared" si="34"/>
        <v>6200</v>
      </c>
      <c r="AI30" s="235">
        <f t="shared" si="35"/>
        <v>10400</v>
      </c>
      <c r="AJ30" s="235">
        <f t="shared" si="36"/>
        <v>16150</v>
      </c>
      <c r="AK30" s="235">
        <f t="shared" si="37"/>
        <v>23700</v>
      </c>
      <c r="AL30" s="235">
        <f t="shared" si="38"/>
        <v>33200</v>
      </c>
      <c r="AM30" s="235">
        <f t="shared" si="39"/>
        <v>44900</v>
      </c>
      <c r="AN30" s="235">
        <f t="shared" si="40"/>
        <v>59000</v>
      </c>
    </row>
    <row r="31" spans="1:40" x14ac:dyDescent="0.2">
      <c r="A31" s="276" t="s">
        <v>325</v>
      </c>
      <c r="B31" s="3" t="str">
        <f>IF(A31&gt;"",IF(ISERROR(VLOOKUP(A31,Skills!$A$2:$B$106,2,FALSE)),"Un",VLOOKUP(A31,Skills!$A$2:$B$206,2,FALSE)),"")</f>
        <v>Un</v>
      </c>
      <c r="C31" s="273"/>
      <c r="D31" s="273"/>
      <c r="E31" s="216" t="str">
        <f t="shared" si="3"/>
        <v/>
      </c>
      <c r="F31" s="216" t="str">
        <f t="shared" si="4"/>
        <v/>
      </c>
      <c r="G31" s="216" t="str">
        <f t="shared" si="5"/>
        <v/>
      </c>
      <c r="H31" s="274">
        <f>ROUND((K31*(0.9*VLOOKUP($A31,Skills!$A$2:$W$106,11,FALSE))-K31),0)</f>
        <v>0</v>
      </c>
      <c r="I31" s="275"/>
      <c r="J31" s="275"/>
      <c r="K31" s="216">
        <f t="shared" si="6"/>
        <v>0</v>
      </c>
      <c r="L31" s="216" t="str">
        <f>IF(R31,(P31*VLOOKUP($A31,Skills!$A$2:$W$106,9,FALSE))+IF(B31="Un",VLOOKUP($A31,Skills!$A$2:$W$106,10,FALSE),0),"")</f>
        <v/>
      </c>
      <c r="M31" s="216">
        <f>(P31+IF(B31="Un",1,0))*150</f>
        <v>150</v>
      </c>
      <c r="O31" s="412">
        <v>10</v>
      </c>
      <c r="P31" s="412">
        <f t="shared" si="8"/>
        <v>0</v>
      </c>
      <c r="Q31" s="411"/>
      <c r="R31" s="217" t="b">
        <f t="shared" si="9"/>
        <v>0</v>
      </c>
      <c r="S31" s="236">
        <f>VLOOKUP($A31,Skills!$A$2:$W$106,13,FALSE)</f>
        <v>250</v>
      </c>
      <c r="T31" s="236">
        <f>VLOOKUP($A31,Skills!$A$2:$W$106,14,FALSE)</f>
        <v>100</v>
      </c>
      <c r="U31" s="236">
        <f>VLOOKUP($A31,Skills!$A$2:$W$106,15,FALSE)</f>
        <v>150</v>
      </c>
      <c r="V31" s="236">
        <f>VLOOKUP($A31,Skills!$A$2:$W$106,16,FALSE)</f>
        <v>350</v>
      </c>
      <c r="W31" s="236">
        <f>VLOOKUP($A31,Skills!$A$2:$W$106,17,FALSE)</f>
        <v>700</v>
      </c>
      <c r="X31" s="236">
        <f>VLOOKUP($A31,Skills!$A$2:$W$106,18,FALSE)</f>
        <v>950</v>
      </c>
      <c r="Y31" s="236">
        <f>VLOOKUP($A31,Skills!$A$2:$W$106,19,FALSE)</f>
        <v>1500</v>
      </c>
      <c r="Z31" s="236">
        <f>VLOOKUP($A31,Skills!$A$2:$W$106,20,FALSE)</f>
        <v>1850</v>
      </c>
      <c r="AA31" s="236">
        <f>VLOOKUP($A31,Skills!$A$2:$W$106,21,FALSE)</f>
        <v>2500</v>
      </c>
      <c r="AB31" s="236">
        <f>VLOOKUP($A31,Skills!$A$2:$W$106,22,FALSE)</f>
        <v>3200</v>
      </c>
      <c r="AC31" s="236">
        <f>VLOOKUP($A31,Skills!$A$2:$W$106,23,FALSE)</f>
        <v>4000</v>
      </c>
      <c r="AD31" s="235">
        <f>S31</f>
        <v>250</v>
      </c>
      <c r="AE31" s="235">
        <f t="shared" si="22"/>
        <v>350</v>
      </c>
      <c r="AF31" s="235">
        <f t="shared" si="22"/>
        <v>500</v>
      </c>
      <c r="AG31" s="235">
        <f t="shared" si="22"/>
        <v>850</v>
      </c>
      <c r="AH31" s="235">
        <f t="shared" si="22"/>
        <v>1550</v>
      </c>
      <c r="AI31" s="235">
        <f t="shared" si="22"/>
        <v>2500</v>
      </c>
      <c r="AJ31" s="235">
        <f t="shared" si="22"/>
        <v>4000</v>
      </c>
      <c r="AK31" s="235">
        <f t="shared" si="22"/>
        <v>5850</v>
      </c>
      <c r="AL31" s="235">
        <f t="shared" si="22"/>
        <v>8350</v>
      </c>
      <c r="AM31" s="235">
        <f t="shared" si="22"/>
        <v>11550</v>
      </c>
      <c r="AN31" s="235">
        <f t="shared" si="22"/>
        <v>15550</v>
      </c>
    </row>
    <row r="32" spans="1:40" x14ac:dyDescent="0.2">
      <c r="A32" s="276" t="s">
        <v>164</v>
      </c>
      <c r="B32" s="3">
        <f>IF(A32&gt;"",IF(ISERROR(VLOOKUP(A32,Skills!$A$2:$B$106,2,FALSE)),"Un",VLOOKUP(A32,Skills!$A$2:$B$206,2,FALSE)),"")</f>
        <v>8</v>
      </c>
      <c r="C32" s="273"/>
      <c r="D32" s="273"/>
      <c r="E32" s="216" t="str">
        <f t="shared" si="3"/>
        <v/>
      </c>
      <c r="F32" s="216" t="str">
        <f t="shared" si="4"/>
        <v/>
      </c>
      <c r="G32" s="216" t="str">
        <f t="shared" si="5"/>
        <v/>
      </c>
      <c r="H32" s="274">
        <f>ROUND((K32*(0.9*VLOOKUP($A32,Skills!$A$2:$W$106,11,FALSE))-K32),0)</f>
        <v>0</v>
      </c>
      <c r="I32" s="275"/>
      <c r="J32" s="275"/>
      <c r="K32" s="216">
        <f t="shared" si="6"/>
        <v>0</v>
      </c>
      <c r="L32" s="216" t="str">
        <f>IF(R32,(P32*VLOOKUP($A32,Skills!$A$2:$W$106,9,FALSE))+IF(B32="Un",VLOOKUP($A32,Skills!$A$2:$W$106,10,FALSE),0),"")</f>
        <v/>
      </c>
      <c r="M32" s="216">
        <f>(P32+IF(B32="Un",1,0))*150</f>
        <v>0</v>
      </c>
      <c r="O32" s="412">
        <v>10</v>
      </c>
      <c r="P32" s="412">
        <f t="shared" si="8"/>
        <v>0</v>
      </c>
      <c r="Q32" s="411"/>
      <c r="R32" s="217" t="b">
        <f t="shared" si="9"/>
        <v>0</v>
      </c>
      <c r="S32" s="236">
        <f>VLOOKUP($A32,Skills!$A$2:$W$106,13,FALSE)</f>
        <v>200</v>
      </c>
      <c r="T32" s="236">
        <f>VLOOKUP($A32,Skills!$A$2:$W$106,14,FALSE)</f>
        <v>75</v>
      </c>
      <c r="U32" s="236">
        <f>VLOOKUP($A32,Skills!$A$2:$W$106,15,FALSE)</f>
        <v>125</v>
      </c>
      <c r="V32" s="236">
        <f>VLOOKUP($A32,Skills!$A$2:$W$106,16,FALSE)</f>
        <v>300</v>
      </c>
      <c r="W32" s="236">
        <f>VLOOKUP($A32,Skills!$A$2:$W$106,17,FALSE)</f>
        <v>550</v>
      </c>
      <c r="X32" s="236">
        <f>VLOOKUP($A32,Skills!$A$2:$W$106,18,FALSE)</f>
        <v>850</v>
      </c>
      <c r="Y32" s="236">
        <f>VLOOKUP($A32,Skills!$A$2:$W$106,19,FALSE)</f>
        <v>1350</v>
      </c>
      <c r="Z32" s="236">
        <f>VLOOKUP($A32,Skills!$A$2:$W$106,20,FALSE)</f>
        <v>1700</v>
      </c>
      <c r="AA32" s="236">
        <f>VLOOKUP($A32,Skills!$A$2:$W$106,21,FALSE)</f>
        <v>2250</v>
      </c>
      <c r="AB32" s="236">
        <f>VLOOKUP($A32,Skills!$A$2:$W$106,22,FALSE)</f>
        <v>2900</v>
      </c>
      <c r="AC32" s="236">
        <f>VLOOKUP($A32,Skills!$A$2:$W$106,23,FALSE)</f>
        <v>3500</v>
      </c>
      <c r="AD32" s="235">
        <f>S32</f>
        <v>200</v>
      </c>
      <c r="AE32" s="235">
        <f t="shared" si="22"/>
        <v>275</v>
      </c>
      <c r="AF32" s="235">
        <f t="shared" si="22"/>
        <v>400</v>
      </c>
      <c r="AG32" s="235">
        <f t="shared" si="22"/>
        <v>700</v>
      </c>
      <c r="AH32" s="235">
        <f t="shared" si="22"/>
        <v>1250</v>
      </c>
      <c r="AI32" s="235">
        <f t="shared" si="22"/>
        <v>2100</v>
      </c>
      <c r="AJ32" s="235">
        <f t="shared" si="22"/>
        <v>3450</v>
      </c>
      <c r="AK32" s="235">
        <f t="shared" si="22"/>
        <v>5150</v>
      </c>
      <c r="AL32" s="235">
        <f t="shared" si="22"/>
        <v>7400</v>
      </c>
      <c r="AM32" s="235">
        <f t="shared" si="22"/>
        <v>10300</v>
      </c>
      <c r="AN32" s="235">
        <f t="shared" si="22"/>
        <v>13800</v>
      </c>
    </row>
    <row r="33" spans="1:40" x14ac:dyDescent="0.2">
      <c r="A33" s="276" t="s">
        <v>165</v>
      </c>
      <c r="B33" s="3" t="str">
        <f>IF(A33&gt;"",IF(ISERROR(VLOOKUP(A33,Skills!$A$2:$B$106,2,FALSE)),"Un",VLOOKUP(A33,Skills!$A$2:$B$206,2,FALSE)),"")</f>
        <v>Un</v>
      </c>
      <c r="C33" s="273"/>
      <c r="D33" s="273"/>
      <c r="E33" s="216" t="str">
        <f t="shared" si="3"/>
        <v/>
      </c>
      <c r="F33" s="216" t="str">
        <f t="shared" si="4"/>
        <v/>
      </c>
      <c r="G33" s="216" t="str">
        <f t="shared" si="5"/>
        <v/>
      </c>
      <c r="H33" s="274">
        <f>ROUND((K33*(0.9*VLOOKUP($A33,Skills!$A$2:$W$106,11,FALSE))-K33),0)</f>
        <v>0</v>
      </c>
      <c r="I33" s="275"/>
      <c r="J33" s="275"/>
      <c r="K33" s="216">
        <f t="shared" si="6"/>
        <v>0</v>
      </c>
      <c r="L33" s="216" t="str">
        <f>IF(R33,(P33*VLOOKUP($A33,Skills!$A$2:$W$106,9,FALSE))+IF(B33="Un",VLOOKUP($A33,Skills!$A$2:$W$106,10,FALSE),0),"")</f>
        <v/>
      </c>
      <c r="M33" s="216">
        <f>(P33+IF(B33="Un",1,0))*150</f>
        <v>150</v>
      </c>
      <c r="O33" s="412">
        <v>10</v>
      </c>
      <c r="P33" s="412">
        <f t="shared" si="8"/>
        <v>0</v>
      </c>
      <c r="Q33" s="411"/>
      <c r="R33" s="217" t="b">
        <f t="shared" si="9"/>
        <v>0</v>
      </c>
      <c r="S33" s="236">
        <f>VLOOKUP($A33,Skills!$A$2:$W$106,13,FALSE)</f>
        <v>200</v>
      </c>
      <c r="T33" s="236">
        <f>VLOOKUP($A33,Skills!$A$2:$W$106,14,FALSE)</f>
        <v>75</v>
      </c>
      <c r="U33" s="236">
        <f>VLOOKUP($A33,Skills!$A$2:$W$106,15,FALSE)</f>
        <v>125</v>
      </c>
      <c r="V33" s="236">
        <f>VLOOKUP($A33,Skills!$A$2:$W$106,16,FALSE)</f>
        <v>300</v>
      </c>
      <c r="W33" s="236">
        <f>VLOOKUP($A33,Skills!$A$2:$W$106,17,FALSE)</f>
        <v>550</v>
      </c>
      <c r="X33" s="236">
        <f>VLOOKUP($A33,Skills!$A$2:$W$106,18,FALSE)</f>
        <v>850</v>
      </c>
      <c r="Y33" s="236">
        <f>VLOOKUP($A33,Skills!$A$2:$W$106,19,FALSE)</f>
        <v>1350</v>
      </c>
      <c r="Z33" s="236">
        <f>VLOOKUP($A33,Skills!$A$2:$W$106,20,FALSE)</f>
        <v>1700</v>
      </c>
      <c r="AA33" s="236">
        <f>VLOOKUP($A33,Skills!$A$2:$W$106,21,FALSE)</f>
        <v>2250</v>
      </c>
      <c r="AB33" s="236">
        <f>VLOOKUP($A33,Skills!$A$2:$W$106,22,FALSE)</f>
        <v>2900</v>
      </c>
      <c r="AC33" s="236">
        <f>VLOOKUP($A33,Skills!$A$2:$W$106,23,FALSE)</f>
        <v>3500</v>
      </c>
      <c r="AD33" s="235">
        <f>S33</f>
        <v>200</v>
      </c>
      <c r="AE33" s="235">
        <f t="shared" si="22"/>
        <v>275</v>
      </c>
      <c r="AF33" s="235">
        <f t="shared" si="22"/>
        <v>400</v>
      </c>
      <c r="AG33" s="235">
        <f t="shared" si="22"/>
        <v>700</v>
      </c>
      <c r="AH33" s="235">
        <f t="shared" si="22"/>
        <v>1250</v>
      </c>
      <c r="AI33" s="235">
        <f t="shared" si="22"/>
        <v>2100</v>
      </c>
      <c r="AJ33" s="235">
        <f t="shared" si="22"/>
        <v>3450</v>
      </c>
      <c r="AK33" s="235">
        <f t="shared" si="22"/>
        <v>5150</v>
      </c>
      <c r="AL33" s="235">
        <f t="shared" si="22"/>
        <v>7400</v>
      </c>
      <c r="AM33" s="235">
        <f t="shared" si="22"/>
        <v>10300</v>
      </c>
      <c r="AN33" s="235">
        <f t="shared" si="22"/>
        <v>13800</v>
      </c>
    </row>
    <row r="34" spans="1:40" x14ac:dyDescent="0.2">
      <c r="A34" s="276" t="s">
        <v>590</v>
      </c>
      <c r="B34" s="3" t="str">
        <f>IF(A34&gt;"",IF(ISERROR(VLOOKUP(A34,Skills!$A$2:$B$106,2,FALSE)),"Un",VLOOKUP(A34,Skills!$A$2:$B$206,2,FALSE)),"")</f>
        <v>Un</v>
      </c>
      <c r="C34" s="273"/>
      <c r="D34" s="273"/>
      <c r="E34" s="216" t="str">
        <f t="shared" si="3"/>
        <v/>
      </c>
      <c r="F34" s="216" t="str">
        <f t="shared" si="4"/>
        <v/>
      </c>
      <c r="G34" s="216" t="str">
        <f t="shared" si="5"/>
        <v/>
      </c>
      <c r="H34" s="274">
        <f>ROUND((K34*(0.9*VLOOKUP($A34,Skills!$A$2:$W$106,11,FALSE))-K34),0)</f>
        <v>0</v>
      </c>
      <c r="I34" s="275"/>
      <c r="J34" s="275"/>
      <c r="K34" s="216">
        <f t="shared" si="6"/>
        <v>0</v>
      </c>
      <c r="L34" s="216" t="str">
        <f>IF(R34,(P34*VLOOKUP($A34,Skills!$A$2:$W$106,9,FALSE))+IF(B34="Un",VLOOKUP($A34,Skills!$A$2:$W$106,10,FALSE),0),"")</f>
        <v/>
      </c>
      <c r="M34" s="216">
        <f t="shared" si="7"/>
        <v>150</v>
      </c>
      <c r="O34" s="412">
        <v>10</v>
      </c>
      <c r="P34" s="412">
        <f t="shared" si="8"/>
        <v>0</v>
      </c>
      <c r="Q34" s="411"/>
      <c r="R34" s="217" t="b">
        <f t="shared" si="9"/>
        <v>0</v>
      </c>
      <c r="S34" s="236">
        <f>VLOOKUP($A34,Skills!$A$2:$W$106,13,FALSE)</f>
        <v>200</v>
      </c>
      <c r="T34" s="236">
        <f>VLOOKUP($A34,Skills!$A$2:$W$106,14,FALSE)</f>
        <v>75</v>
      </c>
      <c r="U34" s="236">
        <f>VLOOKUP($A34,Skills!$A$2:$W$106,15,FALSE)</f>
        <v>125</v>
      </c>
      <c r="V34" s="236">
        <f>VLOOKUP($A34,Skills!$A$2:$W$106,16,FALSE)</f>
        <v>300</v>
      </c>
      <c r="W34" s="236">
        <f>VLOOKUP($A34,Skills!$A$2:$W$106,17,FALSE)</f>
        <v>550</v>
      </c>
      <c r="X34" s="236">
        <f>VLOOKUP($A34,Skills!$A$2:$W$106,18,FALSE)</f>
        <v>850</v>
      </c>
      <c r="Y34" s="236">
        <f>VLOOKUP($A34,Skills!$A$2:$W$106,19,FALSE)</f>
        <v>1350</v>
      </c>
      <c r="Z34" s="236">
        <f>VLOOKUP($A34,Skills!$A$2:$W$106,20,FALSE)</f>
        <v>1700</v>
      </c>
      <c r="AA34" s="236">
        <f>VLOOKUP($A34,Skills!$A$2:$W$106,21,FALSE)</f>
        <v>2250</v>
      </c>
      <c r="AB34" s="236">
        <f>VLOOKUP($A34,Skills!$A$2:$W$106,22,FALSE)</f>
        <v>2900</v>
      </c>
      <c r="AC34" s="236">
        <f>VLOOKUP($A34,Skills!$A$2:$W$106,23,FALSE)</f>
        <v>3500</v>
      </c>
      <c r="AD34" s="235">
        <f t="shared" si="11"/>
        <v>200</v>
      </c>
      <c r="AE34" s="235">
        <f t="shared" si="12"/>
        <v>275</v>
      </c>
      <c r="AF34" s="235">
        <f t="shared" si="13"/>
        <v>400</v>
      </c>
      <c r="AG34" s="235">
        <f t="shared" si="14"/>
        <v>700</v>
      </c>
      <c r="AH34" s="235">
        <f t="shared" si="15"/>
        <v>1250</v>
      </c>
      <c r="AI34" s="235">
        <f t="shared" si="16"/>
        <v>2100</v>
      </c>
      <c r="AJ34" s="235">
        <f t="shared" si="17"/>
        <v>3450</v>
      </c>
      <c r="AK34" s="235">
        <f t="shared" si="18"/>
        <v>5150</v>
      </c>
      <c r="AL34" s="235">
        <f t="shared" si="19"/>
        <v>7400</v>
      </c>
      <c r="AM34" s="235">
        <f t="shared" si="20"/>
        <v>10300</v>
      </c>
      <c r="AN34" s="235">
        <f t="shared" si="21"/>
        <v>13800</v>
      </c>
    </row>
    <row r="35" spans="1:40" x14ac:dyDescent="0.2">
      <c r="A35" s="276"/>
      <c r="B35" s="3" t="str">
        <f>IF(A35&gt;"",IF(ISERROR(VLOOKUP(A35,Skills!$A$2:$B$106,2,FALSE)),"Un",VLOOKUP(A35,Skills!$A$2:$B$206,2,FALSE)),"")</f>
        <v/>
      </c>
      <c r="C35" s="273"/>
      <c r="D35" s="273"/>
      <c r="E35" s="216" t="str">
        <f t="shared" si="3"/>
        <v/>
      </c>
      <c r="F35" s="216" t="str">
        <f t="shared" si="4"/>
        <v/>
      </c>
      <c r="G35" s="216" t="str">
        <f t="shared" si="5"/>
        <v/>
      </c>
      <c r="H35" s="274" t="e">
        <f>ROUND((K35*(0.9*VLOOKUP($A35,Skills!$A$2:$W$106,11,FALSE))-K35),0)</f>
        <v>#N/A</v>
      </c>
      <c r="I35" s="275"/>
      <c r="J35" s="275"/>
      <c r="K35" s="216">
        <f t="shared" si="6"/>
        <v>0</v>
      </c>
      <c r="L35" s="216" t="str">
        <f>IF(R35,(P35*VLOOKUP($A35,Skills!$A$2:$W$106,9,FALSE))+IF(B35="Un",VLOOKUP($A35,Skills!$A$2:$W$106,10,FALSE),0),"")</f>
        <v/>
      </c>
      <c r="M35" s="216">
        <f t="shared" si="7"/>
        <v>0</v>
      </c>
      <c r="O35" s="412">
        <v>10</v>
      </c>
      <c r="P35" s="412">
        <f t="shared" si="8"/>
        <v>0</v>
      </c>
      <c r="Q35" s="411"/>
      <c r="R35" s="217" t="b">
        <f t="shared" si="9"/>
        <v>0</v>
      </c>
      <c r="S35" s="236" t="e">
        <f>VLOOKUP($A35,Skills!$A$2:$W$106,13,FALSE)</f>
        <v>#N/A</v>
      </c>
      <c r="T35" s="236" t="e">
        <f>VLOOKUP($A35,Skills!$A$2:$W$106,14,FALSE)</f>
        <v>#N/A</v>
      </c>
      <c r="U35" s="236" t="e">
        <f>VLOOKUP($A35,Skills!$A$2:$W$106,15,FALSE)</f>
        <v>#N/A</v>
      </c>
      <c r="V35" s="236" t="e">
        <f>VLOOKUP($A35,Skills!$A$2:$W$106,16,FALSE)</f>
        <v>#N/A</v>
      </c>
      <c r="W35" s="236" t="e">
        <f>VLOOKUP($A35,Skills!$A$2:$W$106,17,FALSE)</f>
        <v>#N/A</v>
      </c>
      <c r="X35" s="236" t="e">
        <f>VLOOKUP($A35,Skills!$A$2:$W$106,18,FALSE)</f>
        <v>#N/A</v>
      </c>
      <c r="Y35" s="236" t="e">
        <f>VLOOKUP($A35,Skills!$A$2:$W$106,19,FALSE)</f>
        <v>#N/A</v>
      </c>
      <c r="Z35" s="236" t="e">
        <f>VLOOKUP($A35,Skills!$A$2:$W$106,20,FALSE)</f>
        <v>#N/A</v>
      </c>
      <c r="AA35" s="236" t="e">
        <f>VLOOKUP($A35,Skills!$A$2:$W$106,21,FALSE)</f>
        <v>#N/A</v>
      </c>
      <c r="AB35" s="236" t="e">
        <f>VLOOKUP($A35,Skills!$A$2:$W$106,22,FALSE)</f>
        <v>#N/A</v>
      </c>
      <c r="AC35" s="236" t="e">
        <f>VLOOKUP($A35,Skills!$A$2:$W$106,23,FALSE)</f>
        <v>#N/A</v>
      </c>
      <c r="AD35" s="235" t="e">
        <f t="shared" si="11"/>
        <v>#N/A</v>
      </c>
      <c r="AE35" s="235" t="e">
        <f t="shared" si="12"/>
        <v>#N/A</v>
      </c>
      <c r="AF35" s="235" t="e">
        <f t="shared" si="13"/>
        <v>#N/A</v>
      </c>
      <c r="AG35" s="235" t="e">
        <f t="shared" si="14"/>
        <v>#N/A</v>
      </c>
      <c r="AH35" s="235" t="e">
        <f t="shared" si="15"/>
        <v>#N/A</v>
      </c>
      <c r="AI35" s="235" t="e">
        <f t="shared" si="16"/>
        <v>#N/A</v>
      </c>
      <c r="AJ35" s="235" t="e">
        <f t="shared" si="17"/>
        <v>#N/A</v>
      </c>
      <c r="AK35" s="235" t="e">
        <f t="shared" si="18"/>
        <v>#N/A</v>
      </c>
      <c r="AL35" s="235" t="e">
        <f t="shared" si="19"/>
        <v>#N/A</v>
      </c>
      <c r="AM35" s="235" t="e">
        <f t="shared" si="20"/>
        <v>#N/A</v>
      </c>
      <c r="AN35" s="235" t="e">
        <f t="shared" si="21"/>
        <v>#N/A</v>
      </c>
    </row>
    <row r="36" spans="1:40" x14ac:dyDescent="0.2">
      <c r="A36" s="276" t="s">
        <v>151</v>
      </c>
      <c r="B36" s="3">
        <f>IF(A36&gt;"",IF(ISERROR(VLOOKUP(A36,Skills!$A$2:$B$106,2,FALSE)),"Un",VLOOKUP(A36,Skills!$A$2:$B$206,2,FALSE)),"")</f>
        <v>0</v>
      </c>
      <c r="C36" s="273"/>
      <c r="D36" s="273"/>
      <c r="E36" s="216" t="str">
        <f t="shared" si="3"/>
        <v/>
      </c>
      <c r="F36" s="216" t="str">
        <f t="shared" si="4"/>
        <v/>
      </c>
      <c r="G36" s="216" t="str">
        <f t="shared" si="5"/>
        <v/>
      </c>
      <c r="H36" s="274">
        <f>ROUND((K36*(0.9*VLOOKUP($A36,Skills!$A$2:$W$106,11,FALSE))-K36),0)</f>
        <v>0</v>
      </c>
      <c r="I36" s="275"/>
      <c r="J36" s="275"/>
      <c r="K36" s="216">
        <f t="shared" si="6"/>
        <v>0</v>
      </c>
      <c r="L36" s="216" t="str">
        <f>IF(R36,(P36*VLOOKUP($A36,Skills!$A$2:$W$106,9,FALSE))+IF(B36="Un",VLOOKUP($A36,Skills!$A$2:$W$106,10,FALSE),0),"")</f>
        <v/>
      </c>
      <c r="M36" s="216">
        <f t="shared" si="7"/>
        <v>0</v>
      </c>
      <c r="O36" s="412">
        <v>10</v>
      </c>
      <c r="P36" s="412">
        <f t="shared" si="8"/>
        <v>0</v>
      </c>
      <c r="Q36" s="411"/>
      <c r="R36" s="217" t="b">
        <f t="shared" si="9"/>
        <v>0</v>
      </c>
      <c r="S36" s="236">
        <f>VLOOKUP($A36,Skills!$A$2:$W$106,13,FALSE)</f>
        <v>0</v>
      </c>
      <c r="T36" s="236">
        <f>VLOOKUP($A36,Skills!$A$2:$W$106,14,FALSE)</f>
        <v>125</v>
      </c>
      <c r="U36" s="236">
        <f>VLOOKUP($A36,Skills!$A$2:$W$106,15,FALSE)</f>
        <v>250</v>
      </c>
      <c r="V36" s="236">
        <f>VLOOKUP($A36,Skills!$A$2:$W$106,16,FALSE)</f>
        <v>375</v>
      </c>
      <c r="W36" s="236">
        <f>VLOOKUP($A36,Skills!$A$2:$W$106,17,FALSE)</f>
        <v>500</v>
      </c>
      <c r="X36" s="236">
        <f>VLOOKUP($A36,Skills!$A$2:$W$106,18,FALSE)</f>
        <v>625</v>
      </c>
      <c r="Y36" s="236">
        <f>VLOOKUP($A36,Skills!$A$2:$W$106,19,FALSE)</f>
        <v>750</v>
      </c>
      <c r="Z36" s="236">
        <f>VLOOKUP($A36,Skills!$A$2:$W$106,20,FALSE)</f>
        <v>875</v>
      </c>
      <c r="AA36" s="236">
        <f>VLOOKUP($A36,Skills!$A$2:$W$106,21,FALSE)</f>
        <v>1000</v>
      </c>
      <c r="AB36" s="236">
        <f>VLOOKUP($A36,Skills!$A$2:$W$106,22,FALSE)</f>
        <v>1125</v>
      </c>
      <c r="AC36" s="236">
        <f>VLOOKUP($A36,Skills!$A$2:$W$106,23,FALSE)</f>
        <v>1250</v>
      </c>
      <c r="AD36" s="235">
        <f t="shared" si="11"/>
        <v>0</v>
      </c>
      <c r="AE36" s="235">
        <f t="shared" si="12"/>
        <v>125</v>
      </c>
      <c r="AF36" s="235">
        <f t="shared" si="13"/>
        <v>375</v>
      </c>
      <c r="AG36" s="235">
        <f t="shared" si="14"/>
        <v>750</v>
      </c>
      <c r="AH36" s="235">
        <f t="shared" si="15"/>
        <v>1250</v>
      </c>
      <c r="AI36" s="235">
        <f t="shared" si="16"/>
        <v>1875</v>
      </c>
      <c r="AJ36" s="235">
        <f t="shared" si="17"/>
        <v>2625</v>
      </c>
      <c r="AK36" s="235">
        <f t="shared" si="18"/>
        <v>3500</v>
      </c>
      <c r="AL36" s="235">
        <f t="shared" si="19"/>
        <v>4500</v>
      </c>
      <c r="AM36" s="235">
        <f t="shared" si="20"/>
        <v>5625</v>
      </c>
      <c r="AN36" s="235">
        <f t="shared" si="21"/>
        <v>6875</v>
      </c>
    </row>
    <row r="37" spans="1:40" x14ac:dyDescent="0.2">
      <c r="A37" s="276" t="s">
        <v>155</v>
      </c>
      <c r="B37" s="3">
        <f>IF(A37&gt;"",IF(ISERROR(VLOOKUP(A37,Skills!$A$2:$B$106,2,FALSE)),"Un",VLOOKUP(A37,Skills!$A$2:$B$206,2,FALSE)),"")</f>
        <v>0</v>
      </c>
      <c r="C37" s="273"/>
      <c r="D37" s="273"/>
      <c r="E37" s="216" t="str">
        <f t="shared" si="3"/>
        <v/>
      </c>
      <c r="F37" s="216" t="str">
        <f t="shared" si="4"/>
        <v/>
      </c>
      <c r="G37" s="216" t="str">
        <f t="shared" si="5"/>
        <v/>
      </c>
      <c r="H37" s="274">
        <f>ROUND((K37*(0.9*VLOOKUP($A37,Skills!$A$2:$W$106,11,FALSE))-K37),0)</f>
        <v>0</v>
      </c>
      <c r="I37" s="275"/>
      <c r="J37" s="275"/>
      <c r="K37" s="216">
        <f t="shared" si="6"/>
        <v>0</v>
      </c>
      <c r="L37" s="216" t="str">
        <f>IF(R37,(P37*VLOOKUP($A37,Skills!$A$2:$W$106,9,FALSE))+IF(B37="Un",VLOOKUP($A37,Skills!$A$2:$W$106,10,FALSE),0),"")</f>
        <v/>
      </c>
      <c r="M37" s="216">
        <f t="shared" si="7"/>
        <v>0</v>
      </c>
      <c r="O37" s="412">
        <v>10</v>
      </c>
      <c r="P37" s="412">
        <f t="shared" si="8"/>
        <v>0</v>
      </c>
      <c r="Q37" s="411"/>
      <c r="R37" s="217" t="b">
        <f t="shared" si="9"/>
        <v>0</v>
      </c>
      <c r="S37" s="236">
        <f>VLOOKUP($A37,Skills!$A$2:$W$106,13,FALSE)</f>
        <v>0</v>
      </c>
      <c r="T37" s="236">
        <f>VLOOKUP($A37,Skills!$A$2:$W$106,14,FALSE)</f>
        <v>125</v>
      </c>
      <c r="U37" s="236">
        <f>VLOOKUP($A37,Skills!$A$2:$W$106,15,FALSE)</f>
        <v>250</v>
      </c>
      <c r="V37" s="236">
        <f>VLOOKUP($A37,Skills!$A$2:$W$106,16,FALSE)</f>
        <v>375</v>
      </c>
      <c r="W37" s="236">
        <f>VLOOKUP($A37,Skills!$A$2:$W$106,17,FALSE)</f>
        <v>500</v>
      </c>
      <c r="X37" s="236">
        <f>VLOOKUP($A37,Skills!$A$2:$W$106,18,FALSE)</f>
        <v>625</v>
      </c>
      <c r="Y37" s="236">
        <f>VLOOKUP($A37,Skills!$A$2:$W$106,19,FALSE)</f>
        <v>750</v>
      </c>
      <c r="Z37" s="236">
        <f>VLOOKUP($A37,Skills!$A$2:$W$106,20,FALSE)</f>
        <v>875</v>
      </c>
      <c r="AA37" s="236">
        <f>VLOOKUP($A37,Skills!$A$2:$W$106,21,FALSE)</f>
        <v>1000</v>
      </c>
      <c r="AB37" s="236">
        <f>VLOOKUP($A37,Skills!$A$2:$W$106,22,FALSE)</f>
        <v>1125</v>
      </c>
      <c r="AC37" s="236">
        <f>VLOOKUP($A37,Skills!$A$2:$W$106,23,FALSE)</f>
        <v>1250</v>
      </c>
      <c r="AD37" s="235">
        <f t="shared" si="11"/>
        <v>0</v>
      </c>
      <c r="AE37" s="235">
        <f t="shared" si="12"/>
        <v>125</v>
      </c>
      <c r="AF37" s="235">
        <f t="shared" si="13"/>
        <v>375</v>
      </c>
      <c r="AG37" s="235">
        <f t="shared" si="14"/>
        <v>750</v>
      </c>
      <c r="AH37" s="235">
        <f t="shared" si="15"/>
        <v>1250</v>
      </c>
      <c r="AI37" s="235">
        <f t="shared" si="16"/>
        <v>1875</v>
      </c>
      <c r="AJ37" s="235">
        <f t="shared" si="17"/>
        <v>2625</v>
      </c>
      <c r="AK37" s="235">
        <f t="shared" si="18"/>
        <v>3500</v>
      </c>
      <c r="AL37" s="235">
        <f t="shared" si="19"/>
        <v>4500</v>
      </c>
      <c r="AM37" s="235">
        <f t="shared" si="20"/>
        <v>5625</v>
      </c>
      <c r="AN37" s="235">
        <f t="shared" si="21"/>
        <v>6875</v>
      </c>
    </row>
    <row r="38" spans="1:40" x14ac:dyDescent="0.2">
      <c r="A38" s="276" t="s">
        <v>153</v>
      </c>
      <c r="B38" s="3">
        <f>IF(A38&gt;"",IF(ISERROR(VLOOKUP(A38,Skills!$A$2:$B$106,2,FALSE)),"Un",VLOOKUP(A38,Skills!$A$2:$B$206,2,FALSE)),"")</f>
        <v>0</v>
      </c>
      <c r="C38" s="273"/>
      <c r="D38" s="273"/>
      <c r="E38" s="216" t="str">
        <f t="shared" si="3"/>
        <v/>
      </c>
      <c r="F38" s="216" t="str">
        <f t="shared" si="4"/>
        <v/>
      </c>
      <c r="G38" s="216" t="str">
        <f t="shared" si="5"/>
        <v/>
      </c>
      <c r="H38" s="274">
        <f>ROUND((K38*(0.9*VLOOKUP($A38,Skills!$A$2:$W$106,11,FALSE))-K38),0)</f>
        <v>0</v>
      </c>
      <c r="I38" s="275"/>
      <c r="J38" s="275"/>
      <c r="K38" s="216">
        <f t="shared" si="6"/>
        <v>0</v>
      </c>
      <c r="L38" s="216" t="str">
        <f>IF(R38,(P38*VLOOKUP($A38,Skills!$A$2:$W$106,9,FALSE))+IF(B38="Un",VLOOKUP($A38,Skills!$A$2:$W$106,10,FALSE),0),"")</f>
        <v/>
      </c>
      <c r="M38" s="216">
        <f t="shared" si="7"/>
        <v>0</v>
      </c>
      <c r="O38" s="412">
        <v>10</v>
      </c>
      <c r="P38" s="412">
        <f t="shared" si="8"/>
        <v>0</v>
      </c>
      <c r="Q38" s="411"/>
      <c r="R38" s="217" t="b">
        <f t="shared" si="9"/>
        <v>0</v>
      </c>
      <c r="S38" s="236">
        <f>VLOOKUP($A38,Skills!$A$2:$W$106,13,FALSE)</f>
        <v>0</v>
      </c>
      <c r="T38" s="236">
        <f>VLOOKUP($A38,Skills!$A$2:$W$106,14,FALSE)</f>
        <v>500</v>
      </c>
      <c r="U38" s="236">
        <f>VLOOKUP($A38,Skills!$A$2:$W$106,15,FALSE)</f>
        <v>1000</v>
      </c>
      <c r="V38" s="236">
        <f>VLOOKUP($A38,Skills!$A$2:$W$106,16,FALSE)</f>
        <v>1500</v>
      </c>
      <c r="W38" s="236">
        <f>VLOOKUP($A38,Skills!$A$2:$W$106,17,FALSE)</f>
        <v>2000</v>
      </c>
      <c r="X38" s="236">
        <f>VLOOKUP($A38,Skills!$A$2:$W$106,18,FALSE)</f>
        <v>2500</v>
      </c>
      <c r="Y38" s="236">
        <f>VLOOKUP($A38,Skills!$A$2:$W$106,19,FALSE)</f>
        <v>3000</v>
      </c>
      <c r="Z38" s="236">
        <f>VLOOKUP($A38,Skills!$A$2:$W$106,20,FALSE)</f>
        <v>3500</v>
      </c>
      <c r="AA38" s="236">
        <f>VLOOKUP($A38,Skills!$A$2:$W$106,21,FALSE)</f>
        <v>4000</v>
      </c>
      <c r="AB38" s="236">
        <f>VLOOKUP($A38,Skills!$A$2:$W$106,22,FALSE)</f>
        <v>4500</v>
      </c>
      <c r="AC38" s="236">
        <f>VLOOKUP($A38,Skills!$A$2:$W$106,23,FALSE)</f>
        <v>5000</v>
      </c>
      <c r="AD38" s="235">
        <f t="shared" si="11"/>
        <v>0</v>
      </c>
      <c r="AE38" s="235">
        <f t="shared" si="12"/>
        <v>500</v>
      </c>
      <c r="AF38" s="235">
        <f t="shared" si="13"/>
        <v>1500</v>
      </c>
      <c r="AG38" s="235">
        <f t="shared" si="14"/>
        <v>3000</v>
      </c>
      <c r="AH38" s="235">
        <f t="shared" si="15"/>
        <v>5000</v>
      </c>
      <c r="AI38" s="235">
        <f t="shared" si="16"/>
        <v>7500</v>
      </c>
      <c r="AJ38" s="235">
        <f t="shared" si="17"/>
        <v>10500</v>
      </c>
      <c r="AK38" s="235">
        <f t="shared" si="18"/>
        <v>14000</v>
      </c>
      <c r="AL38" s="235">
        <f t="shared" si="19"/>
        <v>18000</v>
      </c>
      <c r="AM38" s="235">
        <f t="shared" si="20"/>
        <v>22500</v>
      </c>
      <c r="AN38" s="235">
        <f t="shared" si="21"/>
        <v>27500</v>
      </c>
    </row>
    <row r="39" spans="1:40" x14ac:dyDescent="0.2">
      <c r="A39" s="276" t="s">
        <v>154</v>
      </c>
      <c r="B39" s="3">
        <f>IF(A39&gt;"",IF(ISERROR(VLOOKUP(A39,Skills!$A$2:$B$106,2,FALSE)),"Un",VLOOKUP(A39,Skills!$A$2:$B$206,2,FALSE)),"")</f>
        <v>0</v>
      </c>
      <c r="C39" s="273"/>
      <c r="D39" s="273"/>
      <c r="E39" s="216" t="str">
        <f t="shared" si="3"/>
        <v/>
      </c>
      <c r="F39" s="216" t="str">
        <f t="shared" si="4"/>
        <v/>
      </c>
      <c r="G39" s="216" t="str">
        <f t="shared" si="5"/>
        <v/>
      </c>
      <c r="H39" s="274">
        <f>ROUND((K39*(0.9*VLOOKUP($A39,Skills!$A$2:$W$106,11,FALSE))-K39),0)</f>
        <v>0</v>
      </c>
      <c r="I39" s="275"/>
      <c r="J39" s="275"/>
      <c r="K39" s="216">
        <f t="shared" si="6"/>
        <v>0</v>
      </c>
      <c r="L39" s="216" t="str">
        <f>IF(R39,(P39*VLOOKUP($A39,Skills!$A$2:$W$106,9,FALSE))+IF(B39="Un",VLOOKUP($A39,Skills!$A$2:$W$106,10,FALSE),0),"")</f>
        <v/>
      </c>
      <c r="M39" s="216">
        <f t="shared" si="7"/>
        <v>0</v>
      </c>
      <c r="O39" s="412">
        <v>10</v>
      </c>
      <c r="P39" s="412">
        <f t="shared" si="8"/>
        <v>0</v>
      </c>
      <c r="Q39" s="411"/>
      <c r="R39" s="217" t="b">
        <f t="shared" si="9"/>
        <v>0</v>
      </c>
      <c r="S39" s="236">
        <f>VLOOKUP($A39,Skills!$A$2:$W$106,13,FALSE)</f>
        <v>0</v>
      </c>
      <c r="T39" s="236">
        <f>VLOOKUP($A39,Skills!$A$2:$W$106,14,FALSE)</f>
        <v>125</v>
      </c>
      <c r="U39" s="236">
        <f>VLOOKUP($A39,Skills!$A$2:$W$106,15,FALSE)</f>
        <v>250</v>
      </c>
      <c r="V39" s="236">
        <f>VLOOKUP($A39,Skills!$A$2:$W$106,16,FALSE)</f>
        <v>375</v>
      </c>
      <c r="W39" s="236">
        <f>VLOOKUP($A39,Skills!$A$2:$W$106,17,FALSE)</f>
        <v>500</v>
      </c>
      <c r="X39" s="236">
        <f>VLOOKUP($A39,Skills!$A$2:$W$106,18,FALSE)</f>
        <v>625</v>
      </c>
      <c r="Y39" s="236">
        <f>VLOOKUP($A39,Skills!$A$2:$W$106,19,FALSE)</f>
        <v>750</v>
      </c>
      <c r="Z39" s="236">
        <f>VLOOKUP($A39,Skills!$A$2:$W$106,20,FALSE)</f>
        <v>875</v>
      </c>
      <c r="AA39" s="236">
        <f>VLOOKUP($A39,Skills!$A$2:$W$106,21,FALSE)</f>
        <v>1000</v>
      </c>
      <c r="AB39" s="236">
        <f>VLOOKUP($A39,Skills!$A$2:$W$106,22,FALSE)</f>
        <v>1125</v>
      </c>
      <c r="AC39" s="236">
        <f>VLOOKUP($A39,Skills!$A$2:$W$106,23,FALSE)</f>
        <v>1250</v>
      </c>
      <c r="AD39" s="235">
        <f t="shared" si="11"/>
        <v>0</v>
      </c>
      <c r="AE39" s="235">
        <f t="shared" si="12"/>
        <v>125</v>
      </c>
      <c r="AF39" s="235">
        <f t="shared" si="13"/>
        <v>375</v>
      </c>
      <c r="AG39" s="235">
        <f t="shared" si="14"/>
        <v>750</v>
      </c>
      <c r="AH39" s="235">
        <f t="shared" si="15"/>
        <v>1250</v>
      </c>
      <c r="AI39" s="235">
        <f t="shared" si="16"/>
        <v>1875</v>
      </c>
      <c r="AJ39" s="235">
        <f t="shared" si="17"/>
        <v>2625</v>
      </c>
      <c r="AK39" s="235">
        <f t="shared" si="18"/>
        <v>3500</v>
      </c>
      <c r="AL39" s="235">
        <f t="shared" si="19"/>
        <v>4500</v>
      </c>
      <c r="AM39" s="235">
        <f t="shared" si="20"/>
        <v>5625</v>
      </c>
      <c r="AN39" s="235">
        <f t="shared" si="21"/>
        <v>6875</v>
      </c>
    </row>
    <row r="40" spans="1:40" x14ac:dyDescent="0.2">
      <c r="E40" s="237">
        <f>SUM(E20:E39)</f>
        <v>0</v>
      </c>
      <c r="F40" s="237" t="str">
        <f>"am "&amp;SUMIF(D20:D39,"a",F20:F39)&amp;" pm "&amp;SUMIF(D20:D39,"p",F20:F39)</f>
        <v>am 0 pm 0</v>
      </c>
      <c r="G40" s="237">
        <f>SUM(G20:G39)</f>
        <v>0</v>
      </c>
      <c r="O40" s="412"/>
      <c r="P40" s="412"/>
      <c r="Q40" s="412"/>
      <c r="R40" s="217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  <c r="AC40" s="235"/>
      <c r="AD40" s="235"/>
      <c r="AE40" s="235"/>
      <c r="AF40" s="235"/>
      <c r="AG40" s="235"/>
      <c r="AH40" s="235"/>
      <c r="AI40" s="235"/>
      <c r="AJ40" s="235"/>
      <c r="AK40" s="235"/>
      <c r="AL40" s="235"/>
      <c r="AM40" s="235"/>
      <c r="AN40" s="235"/>
    </row>
    <row r="41" spans="1:40" x14ac:dyDescent="0.2">
      <c r="E41" s="382"/>
      <c r="F41" s="382"/>
      <c r="G41" s="382"/>
      <c r="O41" s="412"/>
      <c r="P41" s="412"/>
      <c r="Q41" s="412"/>
      <c r="R41" s="217"/>
      <c r="S41" s="235"/>
      <c r="T41" s="235"/>
      <c r="U41" s="235"/>
      <c r="V41" s="235"/>
      <c r="W41" s="235"/>
      <c r="X41" s="235"/>
      <c r="Y41" s="235"/>
      <c r="Z41" s="235"/>
      <c r="AA41" s="235"/>
      <c r="AB41" s="235"/>
      <c r="AC41" s="235"/>
      <c r="AD41" s="235"/>
      <c r="AE41" s="235"/>
      <c r="AF41" s="235"/>
      <c r="AG41" s="235"/>
      <c r="AH41" s="235"/>
      <c r="AI41" s="235"/>
      <c r="AJ41" s="235"/>
      <c r="AK41" s="235"/>
      <c r="AL41" s="235"/>
      <c r="AM41" s="235"/>
      <c r="AN41" s="235"/>
    </row>
    <row r="42" spans="1:40" x14ac:dyDescent="0.2">
      <c r="A42" s="230" t="s">
        <v>202</v>
      </c>
      <c r="B42" s="231" t="s">
        <v>346</v>
      </c>
      <c r="C42" s="231" t="s">
        <v>347</v>
      </c>
      <c r="D42" s="230" t="s">
        <v>362</v>
      </c>
      <c r="E42" s="232" t="s">
        <v>330</v>
      </c>
      <c r="F42" s="232" t="s">
        <v>331</v>
      </c>
      <c r="G42" s="232" t="s">
        <v>332</v>
      </c>
      <c r="H42" s="231" t="s">
        <v>348</v>
      </c>
      <c r="I42" s="231" t="s">
        <v>352</v>
      </c>
      <c r="J42" s="231" t="s">
        <v>353</v>
      </c>
      <c r="K42" s="232" t="s">
        <v>349</v>
      </c>
      <c r="L42" s="234" t="s">
        <v>354</v>
      </c>
      <c r="M42" s="234" t="s">
        <v>355</v>
      </c>
      <c r="O42" s="411" t="s">
        <v>350</v>
      </c>
      <c r="P42" s="411" t="s">
        <v>351</v>
      </c>
      <c r="Q42" s="411" t="s">
        <v>233</v>
      </c>
      <c r="R42" s="217"/>
      <c r="S42" s="235">
        <v>0</v>
      </c>
      <c r="T42" s="235">
        <v>1</v>
      </c>
      <c r="U42" s="235">
        <v>2</v>
      </c>
      <c r="V42" s="235">
        <v>3</v>
      </c>
      <c r="W42" s="235">
        <v>4</v>
      </c>
      <c r="X42" s="235">
        <v>5</v>
      </c>
      <c r="Y42" s="235">
        <v>6</v>
      </c>
      <c r="Z42" s="235">
        <v>7</v>
      </c>
      <c r="AA42" s="235">
        <v>8</v>
      </c>
      <c r="AB42" s="235">
        <v>9</v>
      </c>
      <c r="AC42" s="235">
        <v>10</v>
      </c>
      <c r="AD42" s="235">
        <v>0</v>
      </c>
      <c r="AE42" s="235">
        <v>1</v>
      </c>
      <c r="AF42" s="235">
        <v>2</v>
      </c>
      <c r="AG42" s="235">
        <v>3</v>
      </c>
      <c r="AH42" s="235">
        <v>4</v>
      </c>
      <c r="AI42" s="235">
        <v>5</v>
      </c>
      <c r="AJ42" s="235">
        <v>6</v>
      </c>
      <c r="AK42" s="235">
        <v>7</v>
      </c>
      <c r="AL42" s="235">
        <v>8</v>
      </c>
      <c r="AM42" s="235">
        <v>9</v>
      </c>
      <c r="AN42" s="235">
        <v>10</v>
      </c>
    </row>
    <row r="43" spans="1:40" x14ac:dyDescent="0.2">
      <c r="A43" s="276" t="s">
        <v>74</v>
      </c>
      <c r="B43" s="3" t="str">
        <f>IF(A43&gt;"",IF(ISERROR(VLOOKUP(A43,Weapons!$A$2:$J$90,10,FALSE)),"Un",VLOOKUP(A43,Weapons!$A$2:$J$90,10,FALSE)),"")</f>
        <v>Un</v>
      </c>
      <c r="C43" s="273"/>
      <c r="D43" s="273" t="s">
        <v>356</v>
      </c>
      <c r="E43" s="216" t="str">
        <f t="shared" ref="E43:E60" si="41">IF($R43,K43+H43,"")</f>
        <v/>
      </c>
      <c r="F43" s="216" t="str">
        <f t="shared" ref="F43:F60" si="42">IF($R43,L43+I43,"")</f>
        <v/>
      </c>
      <c r="G43" s="216" t="str">
        <f t="shared" ref="G43:G60" si="43">IF($R43,M43+J43,"")</f>
        <v/>
      </c>
      <c r="H43" s="275"/>
      <c r="I43" s="275"/>
      <c r="J43" s="275"/>
      <c r="K43" s="216">
        <f t="shared" ref="K43:K60" si="44">IF(R43,IF(Q43&gt;"",P43*Q43,SUMIF($AD$19:$AN$19,$C43,$AD43:$AN43)-SUMIF($AD$19:$AN$19,$B43,$AD43:$AN43)),0)</f>
        <v>0</v>
      </c>
      <c r="L43" s="216">
        <f t="shared" ref="L43:L60" si="45">(P43+IF(B43="Un",0.5,0))*14</f>
        <v>7</v>
      </c>
      <c r="M43" s="216">
        <f t="shared" ref="M43:M60" si="46">(P43+IF(B43="Un",1,0))*10</f>
        <v>10</v>
      </c>
      <c r="O43" s="412">
        <f>IF(A43&gt;"",IF(ISERROR(VLOOKUP(A43,Weapons!$A$2:$J$90,9,FALSE)),"Un",VLOOKUP(A43,Weapons!$A$2:$J$90,9,FALSE)),"")</f>
        <v>10</v>
      </c>
      <c r="P43" s="412">
        <f t="shared" ref="P43:P60" si="47">IF(R43,(C43*(C43+1)/2)-IF(B43="Un",0,B43*(B43+1)/2),0)</f>
        <v>0</v>
      </c>
      <c r="Q43" s="411"/>
      <c r="R43" s="217" t="b">
        <f t="shared" ref="R43:R60" si="48">AND(A43&gt;"",C43&lt;&gt;"",OR(B43="Un",C43&gt;B43),C43&lt;=O43)</f>
        <v>0</v>
      </c>
      <c r="S43" s="236">
        <f>VLOOKUP($A43,Weapons!$A$2:$AF$90,COLUMN()+2,FALSE)</f>
        <v>150</v>
      </c>
      <c r="T43" s="236">
        <f>VLOOKUP($A43,Weapons!$A$2:$AF$90,COLUMN()+2,FALSE)</f>
        <v>300</v>
      </c>
      <c r="U43" s="236">
        <f>VLOOKUP($A43,Weapons!$A$2:$AF$90,COLUMN()+2,FALSE)</f>
        <v>450</v>
      </c>
      <c r="V43" s="236">
        <f>VLOOKUP($A43,Weapons!$A$2:$AF$90,COLUMN()+2,FALSE)</f>
        <v>600</v>
      </c>
      <c r="W43" s="236">
        <f>VLOOKUP($A43,Weapons!$A$2:$AF$90,COLUMN()+2,FALSE)</f>
        <v>800</v>
      </c>
      <c r="X43" s="236">
        <f>VLOOKUP($A43,Weapons!$A$2:$AF$90,COLUMN()+2,FALSE)</f>
        <v>900</v>
      </c>
      <c r="Y43" s="236">
        <f>VLOOKUP($A43,Weapons!$A$2:$AF$90,COLUMN()+2,FALSE)</f>
        <v>1500</v>
      </c>
      <c r="Z43" s="236">
        <f>VLOOKUP($A43,Weapons!$A$2:$AF$90,COLUMN()+2,FALSE)</f>
        <v>3000</v>
      </c>
      <c r="AA43" s="236">
        <f>VLOOKUP($A43,Weapons!$A$2:$AF$90,COLUMN()+2,FALSE)</f>
        <v>4000</v>
      </c>
      <c r="AB43" s="236">
        <f>VLOOKUP($A43,Weapons!$A$2:$AF$90,COLUMN()+2,FALSE)</f>
        <v>5000</v>
      </c>
      <c r="AC43" s="236">
        <f>VLOOKUP($A43,Weapons!$A$2:$AF$90,COLUMN()+2,FALSE)</f>
        <v>4000</v>
      </c>
      <c r="AD43" s="235">
        <f>S43</f>
        <v>150</v>
      </c>
      <c r="AE43" s="235">
        <f t="shared" ref="AE43:AN43" si="49">AD43+T43</f>
        <v>450</v>
      </c>
      <c r="AF43" s="235">
        <f t="shared" si="49"/>
        <v>900</v>
      </c>
      <c r="AG43" s="235">
        <f t="shared" si="49"/>
        <v>1500</v>
      </c>
      <c r="AH43" s="235">
        <f t="shared" si="49"/>
        <v>2300</v>
      </c>
      <c r="AI43" s="235">
        <f t="shared" si="49"/>
        <v>3200</v>
      </c>
      <c r="AJ43" s="235">
        <f t="shared" si="49"/>
        <v>4700</v>
      </c>
      <c r="AK43" s="235">
        <f t="shared" si="49"/>
        <v>7700</v>
      </c>
      <c r="AL43" s="235">
        <f t="shared" si="49"/>
        <v>11700</v>
      </c>
      <c r="AM43" s="235">
        <f t="shared" si="49"/>
        <v>16700</v>
      </c>
      <c r="AN43" s="235">
        <f t="shared" si="49"/>
        <v>20700</v>
      </c>
    </row>
    <row r="44" spans="1:40" x14ac:dyDescent="0.2">
      <c r="A44" s="276" t="s">
        <v>26</v>
      </c>
      <c r="B44" s="3" t="str">
        <f>IF(A44&gt;"",IF(ISERROR(VLOOKUP(A44,Weapons!$A$2:$J$90,10,FALSE)),"Un",VLOOKUP(A44,Weapons!$A$2:$J$90,10,FALSE)),"")</f>
        <v>Un</v>
      </c>
      <c r="C44" s="273"/>
      <c r="D44" s="273"/>
      <c r="E44" s="216" t="str">
        <f t="shared" si="41"/>
        <v/>
      </c>
      <c r="F44" s="216" t="str">
        <f t="shared" si="42"/>
        <v/>
      </c>
      <c r="G44" s="216" t="str">
        <f t="shared" si="43"/>
        <v/>
      </c>
      <c r="H44" s="275"/>
      <c r="I44" s="275"/>
      <c r="J44" s="275"/>
      <c r="K44" s="216">
        <f t="shared" si="44"/>
        <v>0</v>
      </c>
      <c r="L44" s="216">
        <f t="shared" si="45"/>
        <v>7</v>
      </c>
      <c r="M44" s="216">
        <f t="shared" si="46"/>
        <v>10</v>
      </c>
      <c r="O44" s="412">
        <f>IF(A44&gt;"",IF(ISERROR(VLOOKUP(A44,Weapons!$A$2:$J$90,9,FALSE)),"Un",VLOOKUP(A44,Weapons!$A$2:$J$90,9,FALSE)),"")</f>
        <v>9</v>
      </c>
      <c r="P44" s="412">
        <f t="shared" si="47"/>
        <v>0</v>
      </c>
      <c r="Q44" s="411"/>
      <c r="R44" s="217" t="b">
        <f t="shared" si="48"/>
        <v>0</v>
      </c>
      <c r="S44" s="236">
        <f>VLOOKUP($A44,Weapons!$A$2:$AF$90,COLUMN()+2,FALSE)</f>
        <v>25</v>
      </c>
      <c r="T44" s="236">
        <f>VLOOKUP($A44,Weapons!$A$2:$AF$90,COLUMN()+2,FALSE)</f>
        <v>25</v>
      </c>
      <c r="U44" s="236">
        <f>VLOOKUP($A44,Weapons!$A$2:$AF$90,COLUMN()+2,FALSE)</f>
        <v>50</v>
      </c>
      <c r="V44" s="236">
        <f>VLOOKUP($A44,Weapons!$A$2:$AF$90,COLUMN()+2,FALSE)</f>
        <v>100</v>
      </c>
      <c r="W44" s="236">
        <f>VLOOKUP($A44,Weapons!$A$2:$AF$90,COLUMN()+2,FALSE)</f>
        <v>200</v>
      </c>
      <c r="X44" s="236">
        <f>VLOOKUP($A44,Weapons!$A$2:$AF$90,COLUMN()+2,FALSE)</f>
        <v>400</v>
      </c>
      <c r="Y44" s="236">
        <f>VLOOKUP($A44,Weapons!$A$2:$AF$90,COLUMN()+2,FALSE)</f>
        <v>700</v>
      </c>
      <c r="Z44" s="236">
        <f>VLOOKUP($A44,Weapons!$A$2:$AF$90,COLUMN()+2,FALSE)</f>
        <v>1500</v>
      </c>
      <c r="AA44" s="236">
        <f>VLOOKUP($A44,Weapons!$A$2:$AF$90,COLUMN()+2,FALSE)</f>
        <v>3000</v>
      </c>
      <c r="AB44" s="236">
        <f>VLOOKUP($A44,Weapons!$A$2:$AF$90,COLUMN()+2,FALSE)</f>
        <v>4000</v>
      </c>
      <c r="AC44" s="236">
        <f>VLOOKUP($A44,Weapons!$A$2:$AF$90,COLUMN()+2,FALSE)</f>
        <v>0</v>
      </c>
      <c r="AD44" s="235">
        <f t="shared" ref="AD44:AD60" si="50">S44</f>
        <v>25</v>
      </c>
      <c r="AE44" s="235">
        <f t="shared" ref="AE44:AE60" si="51">AD44+T44</f>
        <v>50</v>
      </c>
      <c r="AF44" s="235">
        <f t="shared" ref="AF44:AF60" si="52">AE44+U44</f>
        <v>100</v>
      </c>
      <c r="AG44" s="235">
        <f t="shared" ref="AG44:AG60" si="53">AF44+V44</f>
        <v>200</v>
      </c>
      <c r="AH44" s="235">
        <f t="shared" ref="AH44:AH60" si="54">AG44+W44</f>
        <v>400</v>
      </c>
      <c r="AI44" s="235">
        <f t="shared" ref="AI44:AI60" si="55">AH44+X44</f>
        <v>800</v>
      </c>
      <c r="AJ44" s="235">
        <f t="shared" ref="AJ44:AJ60" si="56">AI44+Y44</f>
        <v>1500</v>
      </c>
      <c r="AK44" s="235">
        <f t="shared" ref="AK44:AK60" si="57">AJ44+Z44</f>
        <v>3000</v>
      </c>
      <c r="AL44" s="235">
        <f t="shared" ref="AL44:AL60" si="58">AK44+AA44</f>
        <v>6000</v>
      </c>
      <c r="AM44" s="235">
        <f t="shared" ref="AM44:AM60" si="59">AL44+AB44</f>
        <v>10000</v>
      </c>
      <c r="AN44" s="235">
        <f t="shared" ref="AN44:AN60" si="60">AM44+AC44</f>
        <v>10000</v>
      </c>
    </row>
    <row r="45" spans="1:40" x14ac:dyDescent="0.2">
      <c r="A45" s="276" t="s">
        <v>63</v>
      </c>
      <c r="B45" s="3" t="str">
        <f>IF(A45&gt;"",IF(ISERROR(VLOOKUP(A45,Weapons!$A$2:$J$90,10,FALSE)),"Un",VLOOKUP(A45,Weapons!$A$2:$J$90,10,FALSE)),"")</f>
        <v>Un</v>
      </c>
      <c r="C45" s="273"/>
      <c r="D45" s="273"/>
      <c r="E45" s="216" t="str">
        <f t="shared" si="41"/>
        <v/>
      </c>
      <c r="F45" s="216" t="str">
        <f t="shared" si="42"/>
        <v/>
      </c>
      <c r="G45" s="216" t="str">
        <f t="shared" si="43"/>
        <v/>
      </c>
      <c r="H45" s="275"/>
      <c r="I45" s="275"/>
      <c r="J45" s="275"/>
      <c r="K45" s="216">
        <f t="shared" si="44"/>
        <v>0</v>
      </c>
      <c r="L45" s="216">
        <f t="shared" si="45"/>
        <v>7</v>
      </c>
      <c r="M45" s="216">
        <f t="shared" si="46"/>
        <v>10</v>
      </c>
      <c r="O45" s="412">
        <f>IF(A45&gt;"",IF(ISERROR(VLOOKUP(A45,Weapons!$A$2:$J$90,9,FALSE)),"Un",VLOOKUP(A45,Weapons!$A$2:$J$90,9,FALSE)),"")</f>
        <v>4</v>
      </c>
      <c r="P45" s="412">
        <f t="shared" si="47"/>
        <v>0</v>
      </c>
      <c r="Q45" s="411"/>
      <c r="R45" s="217" t="b">
        <f t="shared" si="48"/>
        <v>0</v>
      </c>
      <c r="S45" s="236">
        <f>VLOOKUP($A45,Weapons!$A$2:$AF$90,COLUMN()+2,FALSE)</f>
        <v>25</v>
      </c>
      <c r="T45" s="236">
        <f>VLOOKUP($A45,Weapons!$A$2:$AF$90,COLUMN()+2,FALSE)</f>
        <v>25</v>
      </c>
      <c r="U45" s="236">
        <f>VLOOKUP($A45,Weapons!$A$2:$AF$90,COLUMN()+2,FALSE)</f>
        <v>50</v>
      </c>
      <c r="V45" s="236">
        <f>VLOOKUP($A45,Weapons!$A$2:$AF$90,COLUMN()+2,FALSE)</f>
        <v>100</v>
      </c>
      <c r="W45" s="236">
        <f>VLOOKUP($A45,Weapons!$A$2:$AF$90,COLUMN()+2,FALSE)</f>
        <v>200</v>
      </c>
      <c r="X45" s="236">
        <f>VLOOKUP($A45,Weapons!$A$2:$AF$90,COLUMN()+2,FALSE)</f>
        <v>0</v>
      </c>
      <c r="Y45" s="236">
        <f>VLOOKUP($A45,Weapons!$A$2:$AF$90,COLUMN()+2,FALSE)</f>
        <v>0</v>
      </c>
      <c r="Z45" s="236">
        <f>VLOOKUP($A45,Weapons!$A$2:$AF$90,COLUMN()+2,FALSE)</f>
        <v>0</v>
      </c>
      <c r="AA45" s="236">
        <f>VLOOKUP($A45,Weapons!$A$2:$AF$90,COLUMN()+2,FALSE)</f>
        <v>0</v>
      </c>
      <c r="AB45" s="236">
        <f>VLOOKUP($A45,Weapons!$A$2:$AF$90,COLUMN()+2,FALSE)</f>
        <v>0</v>
      </c>
      <c r="AC45" s="236">
        <f>VLOOKUP($A45,Weapons!$A$2:$AF$90,COLUMN()+2,FALSE)</f>
        <v>0</v>
      </c>
      <c r="AD45" s="235">
        <f t="shared" si="50"/>
        <v>25</v>
      </c>
      <c r="AE45" s="235">
        <f t="shared" si="51"/>
        <v>50</v>
      </c>
      <c r="AF45" s="235">
        <f t="shared" si="52"/>
        <v>100</v>
      </c>
      <c r="AG45" s="235">
        <f t="shared" si="53"/>
        <v>200</v>
      </c>
      <c r="AH45" s="235">
        <f t="shared" si="54"/>
        <v>400</v>
      </c>
      <c r="AI45" s="235">
        <f t="shared" si="55"/>
        <v>400</v>
      </c>
      <c r="AJ45" s="235">
        <f t="shared" si="56"/>
        <v>400</v>
      </c>
      <c r="AK45" s="235">
        <f t="shared" si="57"/>
        <v>400</v>
      </c>
      <c r="AL45" s="235">
        <f t="shared" si="58"/>
        <v>400</v>
      </c>
      <c r="AM45" s="235">
        <f t="shared" si="59"/>
        <v>400</v>
      </c>
      <c r="AN45" s="235">
        <f t="shared" si="60"/>
        <v>400</v>
      </c>
    </row>
    <row r="46" spans="1:40" x14ac:dyDescent="0.2">
      <c r="A46" s="276" t="s">
        <v>8</v>
      </c>
      <c r="B46" s="3" t="str">
        <f>IF(A46&gt;"",IF(ISERROR(VLOOKUP(A46,Weapons!$A$2:$J$90,10,FALSE)),"Un",VLOOKUP(A46,Weapons!$A$2:$J$90,10,FALSE)),"")</f>
        <v>Un</v>
      </c>
      <c r="C46" s="273"/>
      <c r="D46" s="273"/>
      <c r="E46" s="216" t="str">
        <f t="shared" si="41"/>
        <v/>
      </c>
      <c r="F46" s="216" t="str">
        <f t="shared" si="42"/>
        <v/>
      </c>
      <c r="G46" s="216" t="str">
        <f t="shared" si="43"/>
        <v/>
      </c>
      <c r="H46" s="275"/>
      <c r="I46" s="275"/>
      <c r="J46" s="275"/>
      <c r="K46" s="216">
        <f t="shared" si="44"/>
        <v>0</v>
      </c>
      <c r="L46" s="216">
        <f t="shared" si="45"/>
        <v>7</v>
      </c>
      <c r="M46" s="216">
        <f t="shared" si="46"/>
        <v>10</v>
      </c>
      <c r="O46" s="412">
        <f>IF(A46&gt;"",IF(ISERROR(VLOOKUP(A46,Weapons!$A$2:$J$90,9,FALSE)),"Un",VLOOKUP(A46,Weapons!$A$2:$J$90,9,FALSE)),"")</f>
        <v>7</v>
      </c>
      <c r="P46" s="412">
        <f t="shared" si="47"/>
        <v>0</v>
      </c>
      <c r="Q46" s="411"/>
      <c r="R46" s="217" t="b">
        <f t="shared" si="48"/>
        <v>0</v>
      </c>
      <c r="S46" s="236">
        <f>VLOOKUP($A46,Weapons!$A$2:$AF$90,COLUMN()+2,FALSE)</f>
        <v>75</v>
      </c>
      <c r="T46" s="236">
        <f>VLOOKUP($A46,Weapons!$A$2:$AF$90,COLUMN()+2,FALSE)</f>
        <v>75</v>
      </c>
      <c r="U46" s="236">
        <f>VLOOKUP($A46,Weapons!$A$2:$AF$90,COLUMN()+2,FALSE)</f>
        <v>150</v>
      </c>
      <c r="V46" s="236">
        <f>VLOOKUP($A46,Weapons!$A$2:$AF$90,COLUMN()+2,FALSE)</f>
        <v>200</v>
      </c>
      <c r="W46" s="236">
        <f>VLOOKUP($A46,Weapons!$A$2:$AF$90,COLUMN()+2,FALSE)</f>
        <v>500</v>
      </c>
      <c r="X46" s="236">
        <f>VLOOKUP($A46,Weapons!$A$2:$AF$90,COLUMN()+2,FALSE)</f>
        <v>1000</v>
      </c>
      <c r="Y46" s="236">
        <f>VLOOKUP($A46,Weapons!$A$2:$AF$90,COLUMN()+2,FALSE)</f>
        <v>2000</v>
      </c>
      <c r="Z46" s="236">
        <f>VLOOKUP($A46,Weapons!$A$2:$AF$90,COLUMN()+2,FALSE)</f>
        <v>4000</v>
      </c>
      <c r="AA46" s="236">
        <f>VLOOKUP($A46,Weapons!$A$2:$AF$90,COLUMN()+2,FALSE)</f>
        <v>0</v>
      </c>
      <c r="AB46" s="236">
        <f>VLOOKUP($A46,Weapons!$A$2:$AF$90,COLUMN()+2,FALSE)</f>
        <v>0</v>
      </c>
      <c r="AC46" s="236">
        <f>VLOOKUP($A46,Weapons!$A$2:$AF$90,COLUMN()+2,FALSE)</f>
        <v>0</v>
      </c>
      <c r="AD46" s="235">
        <f t="shared" si="50"/>
        <v>75</v>
      </c>
      <c r="AE46" s="235">
        <f t="shared" si="51"/>
        <v>150</v>
      </c>
      <c r="AF46" s="235">
        <f t="shared" si="52"/>
        <v>300</v>
      </c>
      <c r="AG46" s="235">
        <f t="shared" si="53"/>
        <v>500</v>
      </c>
      <c r="AH46" s="235">
        <f t="shared" si="54"/>
        <v>1000</v>
      </c>
      <c r="AI46" s="235">
        <f t="shared" si="55"/>
        <v>2000</v>
      </c>
      <c r="AJ46" s="235">
        <f t="shared" si="56"/>
        <v>4000</v>
      </c>
      <c r="AK46" s="235">
        <f t="shared" si="57"/>
        <v>8000</v>
      </c>
      <c r="AL46" s="235">
        <f t="shared" si="58"/>
        <v>8000</v>
      </c>
      <c r="AM46" s="235">
        <f t="shared" si="59"/>
        <v>8000</v>
      </c>
      <c r="AN46" s="235">
        <f t="shared" si="60"/>
        <v>8000</v>
      </c>
    </row>
    <row r="47" spans="1:40" x14ac:dyDescent="0.2">
      <c r="A47" s="276" t="s">
        <v>42</v>
      </c>
      <c r="B47" s="3" t="str">
        <f>IF(A47&gt;"",IF(ISERROR(VLOOKUP(A47,Weapons!$A$2:$J$90,10,FALSE)),"Un",VLOOKUP(A47,Weapons!$A$2:$J$90,10,FALSE)),"")</f>
        <v>Un</v>
      </c>
      <c r="C47" s="273"/>
      <c r="D47" s="273"/>
      <c r="E47" s="216" t="str">
        <f t="shared" si="41"/>
        <v/>
      </c>
      <c r="F47" s="216" t="str">
        <f t="shared" si="42"/>
        <v/>
      </c>
      <c r="G47" s="216" t="str">
        <f t="shared" si="43"/>
        <v/>
      </c>
      <c r="H47" s="275"/>
      <c r="I47" s="275"/>
      <c r="J47" s="275"/>
      <c r="K47" s="216">
        <f t="shared" si="44"/>
        <v>0</v>
      </c>
      <c r="L47" s="216">
        <f t="shared" ref="L47:L52" si="61">(P47+IF(B47="Un",0.5,0))*14</f>
        <v>7</v>
      </c>
      <c r="M47" s="216">
        <f t="shared" ref="M47:M52" si="62">(P47+IF(B47="Un",1,0))*10</f>
        <v>10</v>
      </c>
      <c r="O47" s="412">
        <f>IF(A47&gt;"",IF(ISERROR(VLOOKUP(A47,Weapons!$A$2:$J$90,9,FALSE)),"Un",VLOOKUP(A47,Weapons!$A$2:$J$90,9,FALSE)),"")</f>
        <v>7</v>
      </c>
      <c r="P47" s="412">
        <f t="shared" si="47"/>
        <v>0</v>
      </c>
      <c r="Q47" s="411"/>
      <c r="R47" s="217" t="b">
        <f t="shared" si="48"/>
        <v>0</v>
      </c>
      <c r="S47" s="236">
        <f>VLOOKUP($A47,Weapons!$A$2:$AF$90,COLUMN()+2,FALSE)</f>
        <v>100</v>
      </c>
      <c r="T47" s="236">
        <f>VLOOKUP($A47,Weapons!$A$2:$AF$90,COLUMN()+2,FALSE)</f>
        <v>100</v>
      </c>
      <c r="U47" s="236">
        <f>VLOOKUP($A47,Weapons!$A$2:$AF$90,COLUMN()+2,FALSE)</f>
        <v>200</v>
      </c>
      <c r="V47" s="236">
        <f>VLOOKUP($A47,Weapons!$A$2:$AF$90,COLUMN()+2,FALSE)</f>
        <v>400</v>
      </c>
      <c r="W47" s="236">
        <f>VLOOKUP($A47,Weapons!$A$2:$AF$90,COLUMN()+2,FALSE)</f>
        <v>500</v>
      </c>
      <c r="X47" s="236">
        <f>VLOOKUP($A47,Weapons!$A$2:$AF$90,COLUMN()+2,FALSE)</f>
        <v>900</v>
      </c>
      <c r="Y47" s="236">
        <f>VLOOKUP($A47,Weapons!$A$2:$AF$90,COLUMN()+2,FALSE)</f>
        <v>1700</v>
      </c>
      <c r="Z47" s="236">
        <f>VLOOKUP($A47,Weapons!$A$2:$AF$90,COLUMN()+2,FALSE)</f>
        <v>2000</v>
      </c>
      <c r="AA47" s="236">
        <f>VLOOKUP($A47,Weapons!$A$2:$AF$90,COLUMN()+2,FALSE)</f>
        <v>0</v>
      </c>
      <c r="AB47" s="236">
        <f>VLOOKUP($A47,Weapons!$A$2:$AF$90,COLUMN()+2,FALSE)</f>
        <v>0</v>
      </c>
      <c r="AC47" s="236">
        <f>VLOOKUP($A47,Weapons!$A$2:$AF$90,COLUMN()+2,FALSE)</f>
        <v>0</v>
      </c>
      <c r="AD47" s="235">
        <f t="shared" ref="AD47:AD52" si="63">S47</f>
        <v>100</v>
      </c>
      <c r="AE47" s="235">
        <f t="shared" ref="AE47:AE52" si="64">AD47+T47</f>
        <v>200</v>
      </c>
      <c r="AF47" s="235">
        <f t="shared" ref="AF47:AF52" si="65">AE47+U47</f>
        <v>400</v>
      </c>
      <c r="AG47" s="235">
        <f t="shared" ref="AG47:AG52" si="66">AF47+V47</f>
        <v>800</v>
      </c>
      <c r="AH47" s="235">
        <f t="shared" ref="AH47:AH52" si="67">AG47+W47</f>
        <v>1300</v>
      </c>
      <c r="AI47" s="235">
        <f t="shared" ref="AI47:AI52" si="68">AH47+X47</f>
        <v>2200</v>
      </c>
      <c r="AJ47" s="235">
        <f t="shared" ref="AJ47:AJ52" si="69">AI47+Y47</f>
        <v>3900</v>
      </c>
      <c r="AK47" s="235">
        <f t="shared" ref="AK47:AK52" si="70">AJ47+Z47</f>
        <v>5900</v>
      </c>
      <c r="AL47" s="235">
        <f t="shared" ref="AL47:AL52" si="71">AK47+AA47</f>
        <v>5900</v>
      </c>
      <c r="AM47" s="235">
        <f t="shared" ref="AM47:AM52" si="72">AL47+AB47</f>
        <v>5900</v>
      </c>
      <c r="AN47" s="235">
        <f t="shared" ref="AN47:AN52" si="73">AM47+AC47</f>
        <v>5900</v>
      </c>
    </row>
    <row r="48" spans="1:40" x14ac:dyDescent="0.2">
      <c r="A48" s="276" t="s">
        <v>28</v>
      </c>
      <c r="B48" s="3" t="str">
        <f>IF(A48&gt;"",IF(ISERROR(VLOOKUP(A48,Weapons!$A$2:$J$90,10,FALSE)),"Un",VLOOKUP(A48,Weapons!$A$2:$J$90,10,FALSE)),"")</f>
        <v>Un</v>
      </c>
      <c r="C48" s="273"/>
      <c r="D48" s="273"/>
      <c r="E48" s="216" t="str">
        <f t="shared" si="41"/>
        <v/>
      </c>
      <c r="F48" s="216" t="str">
        <f t="shared" si="42"/>
        <v/>
      </c>
      <c r="G48" s="216" t="str">
        <f t="shared" si="43"/>
        <v/>
      </c>
      <c r="H48" s="275"/>
      <c r="I48" s="275"/>
      <c r="J48" s="275"/>
      <c r="K48" s="216">
        <f t="shared" si="44"/>
        <v>0</v>
      </c>
      <c r="L48" s="216">
        <f t="shared" si="61"/>
        <v>7</v>
      </c>
      <c r="M48" s="216">
        <f t="shared" si="62"/>
        <v>10</v>
      </c>
      <c r="O48" s="412">
        <f>IF(A48&gt;"",IF(ISERROR(VLOOKUP(A48,Weapons!$A$2:$J$90,9,FALSE)),"Un",VLOOKUP(A48,Weapons!$A$2:$J$90,9,FALSE)),"")</f>
        <v>9</v>
      </c>
      <c r="P48" s="412">
        <f t="shared" si="47"/>
        <v>0</v>
      </c>
      <c r="Q48" s="411"/>
      <c r="R48" s="217" t="b">
        <f t="shared" si="48"/>
        <v>0</v>
      </c>
      <c r="S48" s="236">
        <f>VLOOKUP($A48,Weapons!$A$2:$AF$90,COLUMN()+2,FALSE)</f>
        <v>75</v>
      </c>
      <c r="T48" s="236">
        <f>VLOOKUP($A48,Weapons!$A$2:$AF$90,COLUMN()+2,FALSE)</f>
        <v>75</v>
      </c>
      <c r="U48" s="236">
        <f>VLOOKUP($A48,Weapons!$A$2:$AF$90,COLUMN()+2,FALSE)</f>
        <v>150</v>
      </c>
      <c r="V48" s="236">
        <f>VLOOKUP($A48,Weapons!$A$2:$AF$90,COLUMN()+2,FALSE)</f>
        <v>200</v>
      </c>
      <c r="W48" s="236">
        <f>VLOOKUP($A48,Weapons!$A$2:$AF$90,COLUMN()+2,FALSE)</f>
        <v>500</v>
      </c>
      <c r="X48" s="236">
        <f>VLOOKUP($A48,Weapons!$A$2:$AF$90,COLUMN()+2,FALSE)</f>
        <v>1000</v>
      </c>
      <c r="Y48" s="236">
        <f>VLOOKUP($A48,Weapons!$A$2:$AF$90,COLUMN()+2,FALSE)</f>
        <v>2000</v>
      </c>
      <c r="Z48" s="236">
        <f>VLOOKUP($A48,Weapons!$A$2:$AF$90,COLUMN()+2,FALSE)</f>
        <v>4000</v>
      </c>
      <c r="AA48" s="236">
        <f>VLOOKUP($A48,Weapons!$A$2:$AF$90,COLUMN()+2,FALSE)</f>
        <v>4000</v>
      </c>
      <c r="AB48" s="236">
        <f>VLOOKUP($A48,Weapons!$A$2:$AF$90,COLUMN()+2,FALSE)</f>
        <v>3000</v>
      </c>
      <c r="AC48" s="236">
        <f>VLOOKUP($A48,Weapons!$A$2:$AF$90,COLUMN()+2,FALSE)</f>
        <v>0</v>
      </c>
      <c r="AD48" s="235">
        <f t="shared" si="63"/>
        <v>75</v>
      </c>
      <c r="AE48" s="235">
        <f t="shared" si="64"/>
        <v>150</v>
      </c>
      <c r="AF48" s="235">
        <f t="shared" si="65"/>
        <v>300</v>
      </c>
      <c r="AG48" s="235">
        <f t="shared" si="66"/>
        <v>500</v>
      </c>
      <c r="AH48" s="235">
        <f t="shared" si="67"/>
        <v>1000</v>
      </c>
      <c r="AI48" s="235">
        <f t="shared" si="68"/>
        <v>2000</v>
      </c>
      <c r="AJ48" s="235">
        <f t="shared" si="69"/>
        <v>4000</v>
      </c>
      <c r="AK48" s="235">
        <f t="shared" si="70"/>
        <v>8000</v>
      </c>
      <c r="AL48" s="235">
        <f t="shared" si="71"/>
        <v>12000</v>
      </c>
      <c r="AM48" s="235">
        <f t="shared" si="72"/>
        <v>15000</v>
      </c>
      <c r="AN48" s="235">
        <f t="shared" si="73"/>
        <v>15000</v>
      </c>
    </row>
    <row r="49" spans="1:40" x14ac:dyDescent="0.2">
      <c r="A49" s="276" t="s">
        <v>59</v>
      </c>
      <c r="B49" s="3" t="str">
        <f>IF(A49&gt;"",IF(ISERROR(VLOOKUP(A49,Weapons!$A$2:$J$90,10,FALSE)),"Un",VLOOKUP(A49,Weapons!$A$2:$J$90,10,FALSE)),"")</f>
        <v>Un</v>
      </c>
      <c r="C49" s="273"/>
      <c r="D49" s="273"/>
      <c r="E49" s="216" t="str">
        <f t="shared" si="41"/>
        <v/>
      </c>
      <c r="F49" s="216" t="str">
        <f t="shared" si="42"/>
        <v/>
      </c>
      <c r="G49" s="216" t="str">
        <f t="shared" si="43"/>
        <v/>
      </c>
      <c r="H49" s="275"/>
      <c r="I49" s="275"/>
      <c r="J49" s="275"/>
      <c r="K49" s="216">
        <f t="shared" si="44"/>
        <v>0</v>
      </c>
      <c r="L49" s="216">
        <f t="shared" si="61"/>
        <v>7</v>
      </c>
      <c r="M49" s="216">
        <f t="shared" si="62"/>
        <v>10</v>
      </c>
      <c r="O49" s="412">
        <f>IF(A49&gt;"",IF(ISERROR(VLOOKUP(A49,Weapons!$A$2:$J$90,9,FALSE)),"Un",VLOOKUP(A49,Weapons!$A$2:$J$90,9,FALSE)),"")</f>
        <v>7</v>
      </c>
      <c r="P49" s="412">
        <f t="shared" si="47"/>
        <v>0</v>
      </c>
      <c r="Q49" s="411"/>
      <c r="R49" s="217" t="b">
        <f t="shared" si="48"/>
        <v>0</v>
      </c>
      <c r="S49" s="236">
        <f>VLOOKUP($A49,Weapons!$A$2:$AF$90,COLUMN()+2,FALSE)</f>
        <v>150</v>
      </c>
      <c r="T49" s="236">
        <f>VLOOKUP($A49,Weapons!$A$2:$AF$90,COLUMN()+2,FALSE)</f>
        <v>150</v>
      </c>
      <c r="U49" s="236">
        <f>VLOOKUP($A49,Weapons!$A$2:$AF$90,COLUMN()+2,FALSE)</f>
        <v>200</v>
      </c>
      <c r="V49" s="236">
        <f>VLOOKUP($A49,Weapons!$A$2:$AF$90,COLUMN()+2,FALSE)</f>
        <v>500</v>
      </c>
      <c r="W49" s="236">
        <f>VLOOKUP($A49,Weapons!$A$2:$AF$90,COLUMN()+2,FALSE)</f>
        <v>1000</v>
      </c>
      <c r="X49" s="236">
        <f>VLOOKUP($A49,Weapons!$A$2:$AF$90,COLUMN()+2,FALSE)</f>
        <v>2000</v>
      </c>
      <c r="Y49" s="236">
        <f>VLOOKUP($A49,Weapons!$A$2:$AF$90,COLUMN()+2,FALSE)</f>
        <v>2000</v>
      </c>
      <c r="Z49" s="236">
        <f>VLOOKUP($A49,Weapons!$A$2:$AF$90,COLUMN()+2,FALSE)</f>
        <v>2000</v>
      </c>
      <c r="AA49" s="236">
        <f>VLOOKUP($A49,Weapons!$A$2:$AF$90,COLUMN()+2,FALSE)</f>
        <v>0</v>
      </c>
      <c r="AB49" s="236">
        <f>VLOOKUP($A49,Weapons!$A$2:$AF$90,COLUMN()+2,FALSE)</f>
        <v>0</v>
      </c>
      <c r="AC49" s="236">
        <f>VLOOKUP($A49,Weapons!$A$2:$AF$90,COLUMN()+2,FALSE)</f>
        <v>0</v>
      </c>
      <c r="AD49" s="235">
        <f t="shared" si="63"/>
        <v>150</v>
      </c>
      <c r="AE49" s="235">
        <f t="shared" si="64"/>
        <v>300</v>
      </c>
      <c r="AF49" s="235">
        <f t="shared" si="65"/>
        <v>500</v>
      </c>
      <c r="AG49" s="235">
        <f t="shared" si="66"/>
        <v>1000</v>
      </c>
      <c r="AH49" s="235">
        <f t="shared" si="67"/>
        <v>2000</v>
      </c>
      <c r="AI49" s="235">
        <f t="shared" si="68"/>
        <v>4000</v>
      </c>
      <c r="AJ49" s="235">
        <f t="shared" si="69"/>
        <v>6000</v>
      </c>
      <c r="AK49" s="235">
        <f t="shared" si="70"/>
        <v>8000</v>
      </c>
      <c r="AL49" s="235">
        <f t="shared" si="71"/>
        <v>8000</v>
      </c>
      <c r="AM49" s="235">
        <f t="shared" si="72"/>
        <v>8000</v>
      </c>
      <c r="AN49" s="235">
        <f t="shared" si="73"/>
        <v>8000</v>
      </c>
    </row>
    <row r="50" spans="1:40" x14ac:dyDescent="0.2">
      <c r="A50" s="276" t="s">
        <v>46</v>
      </c>
      <c r="B50" s="3" t="str">
        <f>IF(A50&gt;"",IF(ISERROR(VLOOKUP(A50,Weapons!$A$2:$J$90,10,FALSE)),"Un",VLOOKUP(A50,Weapons!$A$2:$J$90,10,FALSE)),"")</f>
        <v>Un</v>
      </c>
      <c r="C50" s="273"/>
      <c r="D50" s="273"/>
      <c r="E50" s="216" t="str">
        <f t="shared" si="41"/>
        <v/>
      </c>
      <c r="F50" s="216" t="str">
        <f t="shared" si="42"/>
        <v/>
      </c>
      <c r="G50" s="216" t="str">
        <f t="shared" si="43"/>
        <v/>
      </c>
      <c r="H50" s="275"/>
      <c r="I50" s="275"/>
      <c r="J50" s="275"/>
      <c r="K50" s="216">
        <f t="shared" si="44"/>
        <v>0</v>
      </c>
      <c r="L50" s="216">
        <f t="shared" si="61"/>
        <v>7</v>
      </c>
      <c r="M50" s="216">
        <f t="shared" si="62"/>
        <v>10</v>
      </c>
      <c r="O50" s="412">
        <f>IF(A50&gt;"",IF(ISERROR(VLOOKUP(A50,Weapons!$A$2:$J$90,9,FALSE)),"Un",VLOOKUP(A50,Weapons!$A$2:$J$90,9,FALSE)),"")</f>
        <v>5</v>
      </c>
      <c r="P50" s="412">
        <f t="shared" si="47"/>
        <v>0</v>
      </c>
      <c r="Q50" s="411"/>
      <c r="R50" s="217" t="b">
        <f t="shared" si="48"/>
        <v>0</v>
      </c>
      <c r="S50" s="236">
        <f>VLOOKUP($A50,Weapons!$A$2:$AF$90,COLUMN()+2,FALSE)</f>
        <v>250</v>
      </c>
      <c r="T50" s="236">
        <f>VLOOKUP($A50,Weapons!$A$2:$AF$90,COLUMN()+2,FALSE)</f>
        <v>400</v>
      </c>
      <c r="U50" s="236">
        <f>VLOOKUP($A50,Weapons!$A$2:$AF$90,COLUMN()+2,FALSE)</f>
        <v>700</v>
      </c>
      <c r="V50" s="236">
        <f>VLOOKUP($A50,Weapons!$A$2:$AF$90,COLUMN()+2,FALSE)</f>
        <v>1000</v>
      </c>
      <c r="W50" s="236">
        <f>VLOOKUP($A50,Weapons!$A$2:$AF$90,COLUMN()+2,FALSE)</f>
        <v>1700</v>
      </c>
      <c r="X50" s="236">
        <f>VLOOKUP($A50,Weapons!$A$2:$AF$90,COLUMN()+2,FALSE)</f>
        <v>3500</v>
      </c>
      <c r="Y50" s="236">
        <f>VLOOKUP($A50,Weapons!$A$2:$AF$90,COLUMN()+2,FALSE)</f>
        <v>0</v>
      </c>
      <c r="Z50" s="236">
        <f>VLOOKUP($A50,Weapons!$A$2:$AF$90,COLUMN()+2,FALSE)</f>
        <v>0</v>
      </c>
      <c r="AA50" s="236">
        <f>VLOOKUP($A50,Weapons!$A$2:$AF$90,COLUMN()+2,FALSE)</f>
        <v>0</v>
      </c>
      <c r="AB50" s="236">
        <f>VLOOKUP($A50,Weapons!$A$2:$AF$90,COLUMN()+2,FALSE)</f>
        <v>0</v>
      </c>
      <c r="AC50" s="236">
        <f>VLOOKUP($A50,Weapons!$A$2:$AF$90,COLUMN()+2,FALSE)</f>
        <v>0</v>
      </c>
      <c r="AD50" s="235">
        <f t="shared" si="63"/>
        <v>250</v>
      </c>
      <c r="AE50" s="235">
        <f t="shared" si="64"/>
        <v>650</v>
      </c>
      <c r="AF50" s="235">
        <f t="shared" si="65"/>
        <v>1350</v>
      </c>
      <c r="AG50" s="235">
        <f t="shared" si="66"/>
        <v>2350</v>
      </c>
      <c r="AH50" s="235">
        <f t="shared" si="67"/>
        <v>4050</v>
      </c>
      <c r="AI50" s="235">
        <f t="shared" si="68"/>
        <v>7550</v>
      </c>
      <c r="AJ50" s="235">
        <f t="shared" si="69"/>
        <v>7550</v>
      </c>
      <c r="AK50" s="235">
        <f t="shared" si="70"/>
        <v>7550</v>
      </c>
      <c r="AL50" s="235">
        <f t="shared" si="71"/>
        <v>7550</v>
      </c>
      <c r="AM50" s="235">
        <f t="shared" si="72"/>
        <v>7550</v>
      </c>
      <c r="AN50" s="235">
        <f t="shared" si="73"/>
        <v>7550</v>
      </c>
    </row>
    <row r="51" spans="1:40" x14ac:dyDescent="0.2">
      <c r="A51" s="276" t="s">
        <v>22</v>
      </c>
      <c r="B51" s="3" t="str">
        <f>IF(A51&gt;"",IF(ISERROR(VLOOKUP(A51,Weapons!$A$2:$J$90,10,FALSE)),"Un",VLOOKUP(A51,Weapons!$A$2:$J$90,10,FALSE)),"")</f>
        <v>Un</v>
      </c>
      <c r="C51" s="273"/>
      <c r="D51" s="273"/>
      <c r="E51" s="216" t="str">
        <f t="shared" si="41"/>
        <v/>
      </c>
      <c r="F51" s="216" t="str">
        <f t="shared" si="42"/>
        <v/>
      </c>
      <c r="G51" s="216" t="str">
        <f t="shared" si="43"/>
        <v/>
      </c>
      <c r="H51" s="275"/>
      <c r="I51" s="275"/>
      <c r="J51" s="275"/>
      <c r="K51" s="216">
        <f t="shared" si="44"/>
        <v>0</v>
      </c>
      <c r="L51" s="216">
        <f t="shared" si="61"/>
        <v>7</v>
      </c>
      <c r="M51" s="216">
        <f t="shared" si="62"/>
        <v>10</v>
      </c>
      <c r="O51" s="412">
        <f>IF(A51&gt;"",IF(ISERROR(VLOOKUP(A51,Weapons!$A$2:$J$90,9,FALSE)),"Un",VLOOKUP(A51,Weapons!$A$2:$J$90,9,FALSE)),"")</f>
        <v>8</v>
      </c>
      <c r="P51" s="412">
        <f t="shared" si="47"/>
        <v>0</v>
      </c>
      <c r="Q51" s="411"/>
      <c r="R51" s="217" t="b">
        <f t="shared" si="48"/>
        <v>0</v>
      </c>
      <c r="S51" s="236">
        <f>VLOOKUP($A51,Weapons!$A$2:$AF$90,COLUMN()+2,FALSE)</f>
        <v>200</v>
      </c>
      <c r="T51" s="236">
        <f>VLOOKUP($A51,Weapons!$A$2:$AF$90,COLUMN()+2,FALSE)</f>
        <v>200</v>
      </c>
      <c r="U51" s="236">
        <f>VLOOKUP($A51,Weapons!$A$2:$AF$90,COLUMN()+2,FALSE)</f>
        <v>400</v>
      </c>
      <c r="V51" s="236">
        <f>VLOOKUP($A51,Weapons!$A$2:$AF$90,COLUMN()+2,FALSE)</f>
        <v>700</v>
      </c>
      <c r="W51" s="236">
        <f>VLOOKUP($A51,Weapons!$A$2:$AF$90,COLUMN()+2,FALSE)</f>
        <v>1500</v>
      </c>
      <c r="X51" s="236">
        <f>VLOOKUP($A51,Weapons!$A$2:$AF$90,COLUMN()+2,FALSE)</f>
        <v>3000</v>
      </c>
      <c r="Y51" s="236">
        <f>VLOOKUP($A51,Weapons!$A$2:$AF$90,COLUMN()+2,FALSE)</f>
        <v>3000</v>
      </c>
      <c r="Z51" s="236">
        <f>VLOOKUP($A51,Weapons!$A$2:$AF$90,COLUMN()+2,FALSE)</f>
        <v>3000</v>
      </c>
      <c r="AA51" s="236">
        <f>VLOOKUP($A51,Weapons!$A$2:$AF$90,COLUMN()+2,FALSE)</f>
        <v>3000</v>
      </c>
      <c r="AB51" s="236">
        <f>VLOOKUP($A51,Weapons!$A$2:$AF$90,COLUMN()+2,FALSE)</f>
        <v>0</v>
      </c>
      <c r="AC51" s="236">
        <f>VLOOKUP($A51,Weapons!$A$2:$AF$90,COLUMN()+2,FALSE)</f>
        <v>0</v>
      </c>
      <c r="AD51" s="235">
        <f t="shared" si="63"/>
        <v>200</v>
      </c>
      <c r="AE51" s="235">
        <f t="shared" si="64"/>
        <v>400</v>
      </c>
      <c r="AF51" s="235">
        <f t="shared" si="65"/>
        <v>800</v>
      </c>
      <c r="AG51" s="235">
        <f t="shared" si="66"/>
        <v>1500</v>
      </c>
      <c r="AH51" s="235">
        <f t="shared" si="67"/>
        <v>3000</v>
      </c>
      <c r="AI51" s="235">
        <f t="shared" si="68"/>
        <v>6000</v>
      </c>
      <c r="AJ51" s="235">
        <f t="shared" si="69"/>
        <v>9000</v>
      </c>
      <c r="AK51" s="235">
        <f t="shared" si="70"/>
        <v>12000</v>
      </c>
      <c r="AL51" s="235">
        <f t="shared" si="71"/>
        <v>15000</v>
      </c>
      <c r="AM51" s="235">
        <f t="shared" si="72"/>
        <v>15000</v>
      </c>
      <c r="AN51" s="235">
        <f t="shared" si="73"/>
        <v>15000</v>
      </c>
    </row>
    <row r="52" spans="1:40" x14ac:dyDescent="0.2">
      <c r="A52" s="276" t="s">
        <v>24</v>
      </c>
      <c r="B52" s="3" t="str">
        <f>IF(A52&gt;"",IF(ISERROR(VLOOKUP(A52,Weapons!$A$2:$J$90,10,FALSE)),"Un",VLOOKUP(A52,Weapons!$A$2:$J$90,10,FALSE)),"")</f>
        <v>Un</v>
      </c>
      <c r="C52" s="273"/>
      <c r="D52" s="273"/>
      <c r="E52" s="216" t="str">
        <f t="shared" si="41"/>
        <v/>
      </c>
      <c r="F52" s="216" t="str">
        <f t="shared" si="42"/>
        <v/>
      </c>
      <c r="G52" s="216" t="str">
        <f t="shared" si="43"/>
        <v/>
      </c>
      <c r="H52" s="275"/>
      <c r="I52" s="275"/>
      <c r="J52" s="275"/>
      <c r="K52" s="216">
        <f t="shared" si="44"/>
        <v>0</v>
      </c>
      <c r="L52" s="216">
        <f t="shared" si="61"/>
        <v>7</v>
      </c>
      <c r="M52" s="216">
        <f t="shared" si="62"/>
        <v>10</v>
      </c>
      <c r="O52" s="412">
        <f>IF(A52&gt;"",IF(ISERROR(VLOOKUP(A52,Weapons!$A$2:$J$90,9,FALSE)),"Un",VLOOKUP(A52,Weapons!$A$2:$J$90,9,FALSE)),"")</f>
        <v>5</v>
      </c>
      <c r="P52" s="412">
        <f t="shared" si="47"/>
        <v>0</v>
      </c>
      <c r="Q52" s="411"/>
      <c r="R52" s="217" t="b">
        <f t="shared" si="48"/>
        <v>0</v>
      </c>
      <c r="S52" s="236">
        <f>VLOOKUP($A52,Weapons!$A$2:$AF$90,COLUMN()+2,FALSE)</f>
        <v>100</v>
      </c>
      <c r="T52" s="236">
        <f>VLOOKUP($A52,Weapons!$A$2:$AF$90,COLUMN()+2,FALSE)</f>
        <v>100</v>
      </c>
      <c r="U52" s="236">
        <f>VLOOKUP($A52,Weapons!$A$2:$AF$90,COLUMN()+2,FALSE)</f>
        <v>200</v>
      </c>
      <c r="V52" s="236">
        <f>VLOOKUP($A52,Weapons!$A$2:$AF$90,COLUMN()+2,FALSE)</f>
        <v>400</v>
      </c>
      <c r="W52" s="236">
        <f>VLOOKUP($A52,Weapons!$A$2:$AF$90,COLUMN()+2,FALSE)</f>
        <v>800</v>
      </c>
      <c r="X52" s="236">
        <f>VLOOKUP($A52,Weapons!$A$2:$AF$90,COLUMN()+2,FALSE)</f>
        <v>1000</v>
      </c>
      <c r="Y52" s="236">
        <f>VLOOKUP($A52,Weapons!$A$2:$AF$90,COLUMN()+2,FALSE)</f>
        <v>0</v>
      </c>
      <c r="Z52" s="236">
        <f>VLOOKUP($A52,Weapons!$A$2:$AF$90,COLUMN()+2,FALSE)</f>
        <v>0</v>
      </c>
      <c r="AA52" s="236">
        <f>VLOOKUP($A52,Weapons!$A$2:$AF$90,COLUMN()+2,FALSE)</f>
        <v>0</v>
      </c>
      <c r="AB52" s="236">
        <f>VLOOKUP($A52,Weapons!$A$2:$AF$90,COLUMN()+2,FALSE)</f>
        <v>0</v>
      </c>
      <c r="AC52" s="236">
        <f>VLOOKUP($A52,Weapons!$A$2:$AF$90,COLUMN()+2,FALSE)</f>
        <v>0</v>
      </c>
      <c r="AD52" s="235">
        <f t="shared" si="63"/>
        <v>100</v>
      </c>
      <c r="AE52" s="235">
        <f t="shared" si="64"/>
        <v>200</v>
      </c>
      <c r="AF52" s="235">
        <f t="shared" si="65"/>
        <v>400</v>
      </c>
      <c r="AG52" s="235">
        <f t="shared" si="66"/>
        <v>800</v>
      </c>
      <c r="AH52" s="235">
        <f t="shared" si="67"/>
        <v>1600</v>
      </c>
      <c r="AI52" s="235">
        <f t="shared" si="68"/>
        <v>2600</v>
      </c>
      <c r="AJ52" s="235">
        <f t="shared" si="69"/>
        <v>2600</v>
      </c>
      <c r="AK52" s="235">
        <f t="shared" si="70"/>
        <v>2600</v>
      </c>
      <c r="AL52" s="235">
        <f t="shared" si="71"/>
        <v>2600</v>
      </c>
      <c r="AM52" s="235">
        <f t="shared" si="72"/>
        <v>2600</v>
      </c>
      <c r="AN52" s="235">
        <f t="shared" si="73"/>
        <v>2600</v>
      </c>
    </row>
    <row r="53" spans="1:40" x14ac:dyDescent="0.2">
      <c r="A53" s="276"/>
      <c r="B53" s="3" t="str">
        <f>IF(A53&gt;"",IF(ISERROR(VLOOKUP(A53,Weapons!$A$2:$J$90,10,FALSE)),"Un",VLOOKUP(A53,Weapons!$A$2:$J$90,10,FALSE)),"")</f>
        <v/>
      </c>
      <c r="C53" s="273"/>
      <c r="D53" s="273"/>
      <c r="E53" s="216" t="str">
        <f t="shared" si="41"/>
        <v/>
      </c>
      <c r="F53" s="216" t="str">
        <f t="shared" si="42"/>
        <v/>
      </c>
      <c r="G53" s="216" t="str">
        <f t="shared" si="43"/>
        <v/>
      </c>
      <c r="H53" s="275"/>
      <c r="I53" s="275"/>
      <c r="J53" s="275"/>
      <c r="K53" s="216">
        <f t="shared" si="44"/>
        <v>0</v>
      </c>
      <c r="L53" s="216">
        <f t="shared" si="45"/>
        <v>0</v>
      </c>
      <c r="M53" s="216">
        <f t="shared" si="46"/>
        <v>0</v>
      </c>
      <c r="O53" s="412" t="str">
        <f>IF(A53&gt;"",IF(ISERROR(VLOOKUP(A53,Weapons!$A$2:$J$90,9,FALSE)),"Un",VLOOKUP(A53,Weapons!$A$2:$J$90,9,FALSE)),"")</f>
        <v/>
      </c>
      <c r="P53" s="412">
        <f t="shared" si="47"/>
        <v>0</v>
      </c>
      <c r="Q53" s="411"/>
      <c r="R53" s="217" t="b">
        <f t="shared" si="48"/>
        <v>0</v>
      </c>
      <c r="S53" s="236" t="e">
        <f>VLOOKUP($A53,Weapons!$A$2:$AF$90,COLUMN()+2,FALSE)</f>
        <v>#N/A</v>
      </c>
      <c r="T53" s="236" t="e">
        <f>VLOOKUP($A53,Weapons!$A$2:$AF$90,COLUMN()+2,FALSE)</f>
        <v>#N/A</v>
      </c>
      <c r="U53" s="236" t="e">
        <f>VLOOKUP($A53,Weapons!$A$2:$AF$90,COLUMN()+2,FALSE)</f>
        <v>#N/A</v>
      </c>
      <c r="V53" s="236" t="e">
        <f>VLOOKUP($A53,Weapons!$A$2:$AF$90,COLUMN()+2,FALSE)</f>
        <v>#N/A</v>
      </c>
      <c r="W53" s="236" t="e">
        <f>VLOOKUP($A53,Weapons!$A$2:$AF$90,COLUMN()+2,FALSE)</f>
        <v>#N/A</v>
      </c>
      <c r="X53" s="236" t="e">
        <f>VLOOKUP($A53,Weapons!$A$2:$AF$90,COLUMN()+2,FALSE)</f>
        <v>#N/A</v>
      </c>
      <c r="Y53" s="236" t="e">
        <f>VLOOKUP($A53,Weapons!$A$2:$AF$90,COLUMN()+2,FALSE)</f>
        <v>#N/A</v>
      </c>
      <c r="Z53" s="236" t="e">
        <f>VLOOKUP($A53,Weapons!$A$2:$AF$90,COLUMN()+2,FALSE)</f>
        <v>#N/A</v>
      </c>
      <c r="AA53" s="236" t="e">
        <f>VLOOKUP($A53,Weapons!$A$2:$AF$90,COLUMN()+2,FALSE)</f>
        <v>#N/A</v>
      </c>
      <c r="AB53" s="236" t="e">
        <f>VLOOKUP($A53,Weapons!$A$2:$AF$90,COLUMN()+2,FALSE)</f>
        <v>#N/A</v>
      </c>
      <c r="AC53" s="236" t="e">
        <f>VLOOKUP($A53,Weapons!$A$2:$AF$90,COLUMN()+2,FALSE)</f>
        <v>#N/A</v>
      </c>
      <c r="AD53" s="235" t="e">
        <f t="shared" si="50"/>
        <v>#N/A</v>
      </c>
      <c r="AE53" s="235" t="e">
        <f t="shared" si="51"/>
        <v>#N/A</v>
      </c>
      <c r="AF53" s="235" t="e">
        <f t="shared" si="52"/>
        <v>#N/A</v>
      </c>
      <c r="AG53" s="235" t="e">
        <f t="shared" si="53"/>
        <v>#N/A</v>
      </c>
      <c r="AH53" s="235" t="e">
        <f t="shared" si="54"/>
        <v>#N/A</v>
      </c>
      <c r="AI53" s="235" t="e">
        <f t="shared" si="55"/>
        <v>#N/A</v>
      </c>
      <c r="AJ53" s="235" t="e">
        <f t="shared" si="56"/>
        <v>#N/A</v>
      </c>
      <c r="AK53" s="235" t="e">
        <f t="shared" si="57"/>
        <v>#N/A</v>
      </c>
      <c r="AL53" s="235" t="e">
        <f t="shared" si="58"/>
        <v>#N/A</v>
      </c>
      <c r="AM53" s="235" t="e">
        <f t="shared" si="59"/>
        <v>#N/A</v>
      </c>
      <c r="AN53" s="235" t="e">
        <f t="shared" si="60"/>
        <v>#N/A</v>
      </c>
    </row>
    <row r="54" spans="1:40" x14ac:dyDescent="0.2">
      <c r="A54" s="276"/>
      <c r="B54" s="3" t="str">
        <f>IF(A54&gt;"",IF(ISERROR(VLOOKUP(A54,Weapons!$A$2:$J$90,10,FALSE)),"Un",VLOOKUP(A54,Weapons!$A$2:$J$90,10,FALSE)),"")</f>
        <v/>
      </c>
      <c r="C54" s="273"/>
      <c r="D54" s="273"/>
      <c r="E54" s="216" t="str">
        <f t="shared" si="41"/>
        <v/>
      </c>
      <c r="F54" s="216" t="str">
        <f t="shared" si="42"/>
        <v/>
      </c>
      <c r="G54" s="216" t="str">
        <f t="shared" si="43"/>
        <v/>
      </c>
      <c r="H54" s="275"/>
      <c r="I54" s="275"/>
      <c r="J54" s="275"/>
      <c r="K54" s="216">
        <f t="shared" si="44"/>
        <v>0</v>
      </c>
      <c r="L54" s="216">
        <f t="shared" si="45"/>
        <v>0</v>
      </c>
      <c r="M54" s="216">
        <f t="shared" si="46"/>
        <v>0</v>
      </c>
      <c r="O54" s="412" t="str">
        <f>IF(A54&gt;"",IF(ISERROR(VLOOKUP(A54,Weapons!$A$2:$J$90,9,FALSE)),"Un",VLOOKUP(A54,Weapons!$A$2:$J$90,9,FALSE)),"")</f>
        <v/>
      </c>
      <c r="P54" s="412">
        <f t="shared" si="47"/>
        <v>0</v>
      </c>
      <c r="Q54" s="411"/>
      <c r="R54" s="217" t="b">
        <f t="shared" si="48"/>
        <v>0</v>
      </c>
      <c r="S54" s="236" t="e">
        <f>VLOOKUP($A54,Weapons!$A$2:$AF$90,COLUMN()+2,FALSE)</f>
        <v>#N/A</v>
      </c>
      <c r="T54" s="236" t="e">
        <f>VLOOKUP($A54,Weapons!$A$2:$AF$90,COLUMN()+2,FALSE)</f>
        <v>#N/A</v>
      </c>
      <c r="U54" s="236" t="e">
        <f>VLOOKUP($A54,Weapons!$A$2:$AF$90,COLUMN()+2,FALSE)</f>
        <v>#N/A</v>
      </c>
      <c r="V54" s="236" t="e">
        <f>VLOOKUP($A54,Weapons!$A$2:$AF$90,COLUMN()+2,FALSE)</f>
        <v>#N/A</v>
      </c>
      <c r="W54" s="236" t="e">
        <f>VLOOKUP($A54,Weapons!$A$2:$AF$90,COLUMN()+2,FALSE)</f>
        <v>#N/A</v>
      </c>
      <c r="X54" s="236" t="e">
        <f>VLOOKUP($A54,Weapons!$A$2:$AF$90,COLUMN()+2,FALSE)</f>
        <v>#N/A</v>
      </c>
      <c r="Y54" s="236" t="e">
        <f>VLOOKUP($A54,Weapons!$A$2:$AF$90,COLUMN()+2,FALSE)</f>
        <v>#N/A</v>
      </c>
      <c r="Z54" s="236" t="e">
        <f>VLOOKUP($A54,Weapons!$A$2:$AF$90,COLUMN()+2,FALSE)</f>
        <v>#N/A</v>
      </c>
      <c r="AA54" s="236" t="e">
        <f>VLOOKUP($A54,Weapons!$A$2:$AF$90,COLUMN()+2,FALSE)</f>
        <v>#N/A</v>
      </c>
      <c r="AB54" s="236" t="e">
        <f>VLOOKUP($A54,Weapons!$A$2:$AF$90,COLUMN()+2,FALSE)</f>
        <v>#N/A</v>
      </c>
      <c r="AC54" s="236" t="e">
        <f>VLOOKUP($A54,Weapons!$A$2:$AF$90,COLUMN()+2,FALSE)</f>
        <v>#N/A</v>
      </c>
      <c r="AD54" s="235" t="e">
        <f t="shared" si="50"/>
        <v>#N/A</v>
      </c>
      <c r="AE54" s="235" t="e">
        <f t="shared" si="51"/>
        <v>#N/A</v>
      </c>
      <c r="AF54" s="235" t="e">
        <f t="shared" si="52"/>
        <v>#N/A</v>
      </c>
      <c r="AG54" s="235" t="e">
        <f t="shared" si="53"/>
        <v>#N/A</v>
      </c>
      <c r="AH54" s="235" t="e">
        <f t="shared" si="54"/>
        <v>#N/A</v>
      </c>
      <c r="AI54" s="235" t="e">
        <f t="shared" si="55"/>
        <v>#N/A</v>
      </c>
      <c r="AJ54" s="235" t="e">
        <f t="shared" si="56"/>
        <v>#N/A</v>
      </c>
      <c r="AK54" s="235" t="e">
        <f t="shared" si="57"/>
        <v>#N/A</v>
      </c>
      <c r="AL54" s="235" t="e">
        <f t="shared" si="58"/>
        <v>#N/A</v>
      </c>
      <c r="AM54" s="235" t="e">
        <f t="shared" si="59"/>
        <v>#N/A</v>
      </c>
      <c r="AN54" s="235" t="e">
        <f t="shared" si="60"/>
        <v>#N/A</v>
      </c>
    </row>
    <row r="55" spans="1:40" x14ac:dyDescent="0.2">
      <c r="A55" s="276"/>
      <c r="B55" s="3" t="str">
        <f>IF(A55&gt;"",IF(ISERROR(VLOOKUP(A55,Weapons!$A$2:$J$90,10,FALSE)),"Un",VLOOKUP(A55,Weapons!$A$2:$J$90,10,FALSE)),"")</f>
        <v/>
      </c>
      <c r="C55" s="273"/>
      <c r="D55" s="273"/>
      <c r="E55" s="216" t="str">
        <f t="shared" si="41"/>
        <v/>
      </c>
      <c r="F55" s="216" t="str">
        <f t="shared" si="42"/>
        <v/>
      </c>
      <c r="G55" s="216" t="str">
        <f t="shared" si="43"/>
        <v/>
      </c>
      <c r="H55" s="275"/>
      <c r="I55" s="275"/>
      <c r="J55" s="275"/>
      <c r="K55" s="216">
        <f t="shared" si="44"/>
        <v>0</v>
      </c>
      <c r="L55" s="216">
        <f t="shared" si="45"/>
        <v>0</v>
      </c>
      <c r="M55" s="216">
        <f t="shared" si="46"/>
        <v>0</v>
      </c>
      <c r="O55" s="412" t="str">
        <f>IF(A55&gt;"",IF(ISERROR(VLOOKUP(A55,Weapons!$A$2:$J$90,9,FALSE)),"Un",VLOOKUP(A55,Weapons!$A$2:$J$90,9,FALSE)),"")</f>
        <v/>
      </c>
      <c r="P55" s="412">
        <f t="shared" si="47"/>
        <v>0</v>
      </c>
      <c r="Q55" s="411"/>
      <c r="R55" s="217" t="b">
        <f t="shared" si="48"/>
        <v>0</v>
      </c>
      <c r="S55" s="236" t="e">
        <f>VLOOKUP($A55,Weapons!$A$2:$AF$90,COLUMN()+2,FALSE)</f>
        <v>#N/A</v>
      </c>
      <c r="T55" s="236" t="e">
        <f>VLOOKUP($A55,Weapons!$A$2:$AF$90,COLUMN()+2,FALSE)</f>
        <v>#N/A</v>
      </c>
      <c r="U55" s="236" t="e">
        <f>VLOOKUP($A55,Weapons!$A$2:$AF$90,COLUMN()+2,FALSE)</f>
        <v>#N/A</v>
      </c>
      <c r="V55" s="236" t="e">
        <f>VLOOKUP($A55,Weapons!$A$2:$AF$90,COLUMN()+2,FALSE)</f>
        <v>#N/A</v>
      </c>
      <c r="W55" s="236" t="e">
        <f>VLOOKUP($A55,Weapons!$A$2:$AF$90,COLUMN()+2,FALSE)</f>
        <v>#N/A</v>
      </c>
      <c r="X55" s="236" t="e">
        <f>VLOOKUP($A55,Weapons!$A$2:$AF$90,COLUMN()+2,FALSE)</f>
        <v>#N/A</v>
      </c>
      <c r="Y55" s="236" t="e">
        <f>VLOOKUP($A55,Weapons!$A$2:$AF$90,COLUMN()+2,FALSE)</f>
        <v>#N/A</v>
      </c>
      <c r="Z55" s="236" t="e">
        <f>VLOOKUP($A55,Weapons!$A$2:$AF$90,COLUMN()+2,FALSE)</f>
        <v>#N/A</v>
      </c>
      <c r="AA55" s="236" t="e">
        <f>VLOOKUP($A55,Weapons!$A$2:$AF$90,COLUMN()+2,FALSE)</f>
        <v>#N/A</v>
      </c>
      <c r="AB55" s="236" t="e">
        <f>VLOOKUP($A55,Weapons!$A$2:$AF$90,COLUMN()+2,FALSE)</f>
        <v>#N/A</v>
      </c>
      <c r="AC55" s="236" t="e">
        <f>VLOOKUP($A55,Weapons!$A$2:$AF$90,COLUMN()+2,FALSE)</f>
        <v>#N/A</v>
      </c>
      <c r="AD55" s="235" t="e">
        <f t="shared" si="50"/>
        <v>#N/A</v>
      </c>
      <c r="AE55" s="235" t="e">
        <f t="shared" si="51"/>
        <v>#N/A</v>
      </c>
      <c r="AF55" s="235" t="e">
        <f t="shared" si="52"/>
        <v>#N/A</v>
      </c>
      <c r="AG55" s="235" t="e">
        <f t="shared" si="53"/>
        <v>#N/A</v>
      </c>
      <c r="AH55" s="235" t="e">
        <f t="shared" si="54"/>
        <v>#N/A</v>
      </c>
      <c r="AI55" s="235" t="e">
        <f t="shared" si="55"/>
        <v>#N/A</v>
      </c>
      <c r="AJ55" s="235" t="e">
        <f t="shared" si="56"/>
        <v>#N/A</v>
      </c>
      <c r="AK55" s="235" t="e">
        <f t="shared" si="57"/>
        <v>#N/A</v>
      </c>
      <c r="AL55" s="235" t="e">
        <f t="shared" si="58"/>
        <v>#N/A</v>
      </c>
      <c r="AM55" s="235" t="e">
        <f t="shared" si="59"/>
        <v>#N/A</v>
      </c>
      <c r="AN55" s="235" t="e">
        <f t="shared" si="60"/>
        <v>#N/A</v>
      </c>
    </row>
    <row r="56" spans="1:40" x14ac:dyDescent="0.2">
      <c r="A56" s="276"/>
      <c r="B56" s="3" t="str">
        <f>IF(A56&gt;"",IF(ISERROR(VLOOKUP(A56,Weapons!$A$2:$J$90,10,FALSE)),"Un",VLOOKUP(A56,Weapons!$A$2:$J$90,10,FALSE)),"")</f>
        <v/>
      </c>
      <c r="C56" s="273"/>
      <c r="D56" s="273"/>
      <c r="E56" s="216" t="str">
        <f t="shared" si="41"/>
        <v/>
      </c>
      <c r="F56" s="216" t="str">
        <f t="shared" si="42"/>
        <v/>
      </c>
      <c r="G56" s="216" t="str">
        <f t="shared" si="43"/>
        <v/>
      </c>
      <c r="H56" s="275"/>
      <c r="I56" s="275"/>
      <c r="J56" s="275"/>
      <c r="K56" s="216">
        <f t="shared" si="44"/>
        <v>0</v>
      </c>
      <c r="L56" s="216">
        <f t="shared" si="45"/>
        <v>0</v>
      </c>
      <c r="M56" s="216">
        <f t="shared" si="46"/>
        <v>0</v>
      </c>
      <c r="O56" s="412" t="str">
        <f>IF(A56&gt;"",IF(ISERROR(VLOOKUP(A56,Weapons!$A$2:$J$90,9,FALSE)),"Un",VLOOKUP(A56,Weapons!$A$2:$J$90,9,FALSE)),"")</f>
        <v/>
      </c>
      <c r="P56" s="412">
        <f t="shared" si="47"/>
        <v>0</v>
      </c>
      <c r="Q56" s="411"/>
      <c r="R56" s="217" t="b">
        <f t="shared" si="48"/>
        <v>0</v>
      </c>
      <c r="S56" s="236" t="e">
        <f>VLOOKUP($A56,Weapons!$A$2:$AF$90,COLUMN()+2,FALSE)</f>
        <v>#N/A</v>
      </c>
      <c r="T56" s="236" t="e">
        <f>VLOOKUP($A56,Weapons!$A$2:$AF$90,COLUMN()+2,FALSE)</f>
        <v>#N/A</v>
      </c>
      <c r="U56" s="236" t="e">
        <f>VLOOKUP($A56,Weapons!$A$2:$AF$90,COLUMN()+2,FALSE)</f>
        <v>#N/A</v>
      </c>
      <c r="V56" s="236" t="e">
        <f>VLOOKUP($A56,Weapons!$A$2:$AF$90,COLUMN()+2,FALSE)</f>
        <v>#N/A</v>
      </c>
      <c r="W56" s="236" t="e">
        <f>VLOOKUP($A56,Weapons!$A$2:$AF$90,COLUMN()+2,FALSE)</f>
        <v>#N/A</v>
      </c>
      <c r="X56" s="236" t="e">
        <f>VLOOKUP($A56,Weapons!$A$2:$AF$90,COLUMN()+2,FALSE)</f>
        <v>#N/A</v>
      </c>
      <c r="Y56" s="236" t="e">
        <f>VLOOKUP($A56,Weapons!$A$2:$AF$90,COLUMN()+2,FALSE)</f>
        <v>#N/A</v>
      </c>
      <c r="Z56" s="236" t="e">
        <f>VLOOKUP($A56,Weapons!$A$2:$AF$90,COLUMN()+2,FALSE)</f>
        <v>#N/A</v>
      </c>
      <c r="AA56" s="236" t="e">
        <f>VLOOKUP($A56,Weapons!$A$2:$AF$90,COLUMN()+2,FALSE)</f>
        <v>#N/A</v>
      </c>
      <c r="AB56" s="236" t="e">
        <f>VLOOKUP($A56,Weapons!$A$2:$AF$90,COLUMN()+2,FALSE)</f>
        <v>#N/A</v>
      </c>
      <c r="AC56" s="236" t="e">
        <f>VLOOKUP($A56,Weapons!$A$2:$AF$90,COLUMN()+2,FALSE)</f>
        <v>#N/A</v>
      </c>
      <c r="AD56" s="235" t="e">
        <f t="shared" si="50"/>
        <v>#N/A</v>
      </c>
      <c r="AE56" s="235" t="e">
        <f t="shared" si="51"/>
        <v>#N/A</v>
      </c>
      <c r="AF56" s="235" t="e">
        <f t="shared" si="52"/>
        <v>#N/A</v>
      </c>
      <c r="AG56" s="235" t="e">
        <f t="shared" si="53"/>
        <v>#N/A</v>
      </c>
      <c r="AH56" s="235" t="e">
        <f t="shared" si="54"/>
        <v>#N/A</v>
      </c>
      <c r="AI56" s="235" t="e">
        <f t="shared" si="55"/>
        <v>#N/A</v>
      </c>
      <c r="AJ56" s="235" t="e">
        <f t="shared" si="56"/>
        <v>#N/A</v>
      </c>
      <c r="AK56" s="235" t="e">
        <f t="shared" si="57"/>
        <v>#N/A</v>
      </c>
      <c r="AL56" s="235" t="e">
        <f t="shared" si="58"/>
        <v>#N/A</v>
      </c>
      <c r="AM56" s="235" t="e">
        <f t="shared" si="59"/>
        <v>#N/A</v>
      </c>
      <c r="AN56" s="235" t="e">
        <f t="shared" si="60"/>
        <v>#N/A</v>
      </c>
    </row>
    <row r="57" spans="1:40" x14ac:dyDescent="0.2">
      <c r="A57" s="276"/>
      <c r="B57" s="3" t="str">
        <f>IF(A57&gt;"",IF(ISERROR(VLOOKUP(A57,Weapons!$A$2:$J$90,10,FALSE)),"Un",VLOOKUP(A57,Weapons!$A$2:$J$90,10,FALSE)),"")</f>
        <v/>
      </c>
      <c r="C57" s="273"/>
      <c r="D57" s="273"/>
      <c r="E57" s="216" t="str">
        <f t="shared" si="41"/>
        <v/>
      </c>
      <c r="F57" s="216" t="str">
        <f t="shared" si="42"/>
        <v/>
      </c>
      <c r="G57" s="216" t="str">
        <f t="shared" si="43"/>
        <v/>
      </c>
      <c r="H57" s="275"/>
      <c r="I57" s="275"/>
      <c r="J57" s="275"/>
      <c r="K57" s="216">
        <f t="shared" si="44"/>
        <v>0</v>
      </c>
      <c r="L57" s="216">
        <f t="shared" si="45"/>
        <v>0</v>
      </c>
      <c r="M57" s="216">
        <f t="shared" si="46"/>
        <v>0</v>
      </c>
      <c r="O57" s="412" t="str">
        <f>IF(A57&gt;"",IF(ISERROR(VLOOKUP(A57,Weapons!$A$2:$J$90,9,FALSE)),"Un",VLOOKUP(A57,Weapons!$A$2:$J$90,9,FALSE)),"")</f>
        <v/>
      </c>
      <c r="P57" s="412">
        <f t="shared" si="47"/>
        <v>0</v>
      </c>
      <c r="Q57" s="411"/>
      <c r="R57" s="217" t="b">
        <f t="shared" si="48"/>
        <v>0</v>
      </c>
      <c r="S57" s="236" t="e">
        <f>VLOOKUP($A57,Weapons!$A$2:$AF$90,COLUMN()+2,FALSE)</f>
        <v>#N/A</v>
      </c>
      <c r="T57" s="236" t="e">
        <f>VLOOKUP($A57,Weapons!$A$2:$AF$90,COLUMN()+2,FALSE)</f>
        <v>#N/A</v>
      </c>
      <c r="U57" s="236" t="e">
        <f>VLOOKUP($A57,Weapons!$A$2:$AF$90,COLUMN()+2,FALSE)</f>
        <v>#N/A</v>
      </c>
      <c r="V57" s="236" t="e">
        <f>VLOOKUP($A57,Weapons!$A$2:$AF$90,COLUMN()+2,FALSE)</f>
        <v>#N/A</v>
      </c>
      <c r="W57" s="236" t="e">
        <f>VLOOKUP($A57,Weapons!$A$2:$AF$90,COLUMN()+2,FALSE)</f>
        <v>#N/A</v>
      </c>
      <c r="X57" s="236" t="e">
        <f>VLOOKUP($A57,Weapons!$A$2:$AF$90,COLUMN()+2,FALSE)</f>
        <v>#N/A</v>
      </c>
      <c r="Y57" s="236" t="e">
        <f>VLOOKUP($A57,Weapons!$A$2:$AF$90,COLUMN()+2,FALSE)</f>
        <v>#N/A</v>
      </c>
      <c r="Z57" s="236" t="e">
        <f>VLOOKUP($A57,Weapons!$A$2:$AF$90,COLUMN()+2,FALSE)</f>
        <v>#N/A</v>
      </c>
      <c r="AA57" s="236" t="e">
        <f>VLOOKUP($A57,Weapons!$A$2:$AF$90,COLUMN()+2,FALSE)</f>
        <v>#N/A</v>
      </c>
      <c r="AB57" s="236" t="e">
        <f>VLOOKUP($A57,Weapons!$A$2:$AF$90,COLUMN()+2,FALSE)</f>
        <v>#N/A</v>
      </c>
      <c r="AC57" s="236" t="e">
        <f>VLOOKUP($A57,Weapons!$A$2:$AF$90,COLUMN()+2,FALSE)</f>
        <v>#N/A</v>
      </c>
      <c r="AD57" s="235" t="e">
        <f t="shared" si="50"/>
        <v>#N/A</v>
      </c>
      <c r="AE57" s="235" t="e">
        <f t="shared" si="51"/>
        <v>#N/A</v>
      </c>
      <c r="AF57" s="235" t="e">
        <f t="shared" si="52"/>
        <v>#N/A</v>
      </c>
      <c r="AG57" s="235" t="e">
        <f t="shared" si="53"/>
        <v>#N/A</v>
      </c>
      <c r="AH57" s="235" t="e">
        <f t="shared" si="54"/>
        <v>#N/A</v>
      </c>
      <c r="AI57" s="235" t="e">
        <f t="shared" si="55"/>
        <v>#N/A</v>
      </c>
      <c r="AJ57" s="235" t="e">
        <f t="shared" si="56"/>
        <v>#N/A</v>
      </c>
      <c r="AK57" s="235" t="e">
        <f t="shared" si="57"/>
        <v>#N/A</v>
      </c>
      <c r="AL57" s="235" t="e">
        <f t="shared" si="58"/>
        <v>#N/A</v>
      </c>
      <c r="AM57" s="235" t="e">
        <f t="shared" si="59"/>
        <v>#N/A</v>
      </c>
      <c r="AN57" s="235" t="e">
        <f t="shared" si="60"/>
        <v>#N/A</v>
      </c>
    </row>
    <row r="58" spans="1:40" x14ac:dyDescent="0.2">
      <c r="A58" s="276"/>
      <c r="B58" s="3" t="str">
        <f>IF(A58&gt;"",IF(ISERROR(VLOOKUP(A58,Weapons!$A$2:$J$90,10,FALSE)),"Un",VLOOKUP(A58,Weapons!$A$2:$J$90,10,FALSE)),"")</f>
        <v/>
      </c>
      <c r="C58" s="273"/>
      <c r="D58" s="273"/>
      <c r="E58" s="216" t="str">
        <f t="shared" si="41"/>
        <v/>
      </c>
      <c r="F58" s="216" t="str">
        <f t="shared" si="42"/>
        <v/>
      </c>
      <c r="G58" s="216" t="str">
        <f t="shared" si="43"/>
        <v/>
      </c>
      <c r="H58" s="275"/>
      <c r="I58" s="275"/>
      <c r="J58" s="275"/>
      <c r="K58" s="216">
        <f t="shared" si="44"/>
        <v>0</v>
      </c>
      <c r="L58" s="216">
        <f t="shared" si="45"/>
        <v>0</v>
      </c>
      <c r="M58" s="216">
        <f t="shared" si="46"/>
        <v>0</v>
      </c>
      <c r="O58" s="412" t="str">
        <f>IF(A58&gt;"",IF(ISERROR(VLOOKUP(A58,Weapons!$A$2:$J$90,9,FALSE)),"Un",VLOOKUP(A58,Weapons!$A$2:$J$90,9,FALSE)),"")</f>
        <v/>
      </c>
      <c r="P58" s="412">
        <f t="shared" si="47"/>
        <v>0</v>
      </c>
      <c r="Q58" s="411"/>
      <c r="R58" s="217" t="b">
        <f t="shared" si="48"/>
        <v>0</v>
      </c>
      <c r="S58" s="236" t="e">
        <f>VLOOKUP($A58,Weapons!$A$2:$AF$90,COLUMN()+2,FALSE)</f>
        <v>#N/A</v>
      </c>
      <c r="T58" s="236" t="e">
        <f>VLOOKUP($A58,Weapons!$A$2:$AF$90,COLUMN()+2,FALSE)</f>
        <v>#N/A</v>
      </c>
      <c r="U58" s="236" t="e">
        <f>VLOOKUP($A58,Weapons!$A$2:$AF$90,COLUMN()+2,FALSE)</f>
        <v>#N/A</v>
      </c>
      <c r="V58" s="236" t="e">
        <f>VLOOKUP($A58,Weapons!$A$2:$AF$90,COLUMN()+2,FALSE)</f>
        <v>#N/A</v>
      </c>
      <c r="W58" s="236" t="e">
        <f>VLOOKUP($A58,Weapons!$A$2:$AF$90,COLUMN()+2,FALSE)</f>
        <v>#N/A</v>
      </c>
      <c r="X58" s="236" t="e">
        <f>VLOOKUP($A58,Weapons!$A$2:$AF$90,COLUMN()+2,FALSE)</f>
        <v>#N/A</v>
      </c>
      <c r="Y58" s="236" t="e">
        <f>VLOOKUP($A58,Weapons!$A$2:$AF$90,COLUMN()+2,FALSE)</f>
        <v>#N/A</v>
      </c>
      <c r="Z58" s="236" t="e">
        <f>VLOOKUP($A58,Weapons!$A$2:$AF$90,COLUMN()+2,FALSE)</f>
        <v>#N/A</v>
      </c>
      <c r="AA58" s="236" t="e">
        <f>VLOOKUP($A58,Weapons!$A$2:$AF$90,COLUMN()+2,FALSE)</f>
        <v>#N/A</v>
      </c>
      <c r="AB58" s="236" t="e">
        <f>VLOOKUP($A58,Weapons!$A$2:$AF$90,COLUMN()+2,FALSE)</f>
        <v>#N/A</v>
      </c>
      <c r="AC58" s="236" t="e">
        <f>VLOOKUP($A58,Weapons!$A$2:$AF$90,COLUMN()+2,FALSE)</f>
        <v>#N/A</v>
      </c>
      <c r="AD58" s="235" t="e">
        <f t="shared" si="50"/>
        <v>#N/A</v>
      </c>
      <c r="AE58" s="235" t="e">
        <f t="shared" si="51"/>
        <v>#N/A</v>
      </c>
      <c r="AF58" s="235" t="e">
        <f t="shared" si="52"/>
        <v>#N/A</v>
      </c>
      <c r="AG58" s="235" t="e">
        <f t="shared" si="53"/>
        <v>#N/A</v>
      </c>
      <c r="AH58" s="235" t="e">
        <f t="shared" si="54"/>
        <v>#N/A</v>
      </c>
      <c r="AI58" s="235" t="e">
        <f t="shared" si="55"/>
        <v>#N/A</v>
      </c>
      <c r="AJ58" s="235" t="e">
        <f t="shared" si="56"/>
        <v>#N/A</v>
      </c>
      <c r="AK58" s="235" t="e">
        <f t="shared" si="57"/>
        <v>#N/A</v>
      </c>
      <c r="AL58" s="235" t="e">
        <f t="shared" si="58"/>
        <v>#N/A</v>
      </c>
      <c r="AM58" s="235" t="e">
        <f t="shared" si="59"/>
        <v>#N/A</v>
      </c>
      <c r="AN58" s="235" t="e">
        <f t="shared" si="60"/>
        <v>#N/A</v>
      </c>
    </row>
    <row r="59" spans="1:40" x14ac:dyDescent="0.2">
      <c r="A59" s="276"/>
      <c r="B59" s="3" t="str">
        <f>IF(A59&gt;"",IF(ISERROR(VLOOKUP(A59,Weapons!$A$2:$J$90,10,FALSE)),"Un",VLOOKUP(A59,Weapons!$A$2:$J$90,10,FALSE)),"")</f>
        <v/>
      </c>
      <c r="C59" s="273"/>
      <c r="D59" s="273"/>
      <c r="E59" s="216" t="str">
        <f t="shared" si="41"/>
        <v/>
      </c>
      <c r="F59" s="216" t="str">
        <f t="shared" si="42"/>
        <v/>
      </c>
      <c r="G59" s="216" t="str">
        <f t="shared" si="43"/>
        <v/>
      </c>
      <c r="H59" s="275"/>
      <c r="I59" s="275"/>
      <c r="J59" s="275"/>
      <c r="K59" s="216">
        <f t="shared" si="44"/>
        <v>0</v>
      </c>
      <c r="L59" s="216">
        <f t="shared" si="45"/>
        <v>0</v>
      </c>
      <c r="M59" s="216">
        <f t="shared" si="46"/>
        <v>0</v>
      </c>
      <c r="O59" s="412" t="str">
        <f>IF(A59&gt;"",IF(ISERROR(VLOOKUP(A59,Weapons!$A$2:$J$90,9,FALSE)),"Un",VLOOKUP(A59,Weapons!$A$2:$J$90,9,FALSE)),"")</f>
        <v/>
      </c>
      <c r="P59" s="412">
        <f t="shared" si="47"/>
        <v>0</v>
      </c>
      <c r="Q59" s="411"/>
      <c r="R59" s="217" t="b">
        <f t="shared" si="48"/>
        <v>0</v>
      </c>
      <c r="S59" s="236" t="e">
        <f>VLOOKUP($A59,Weapons!$A$2:$AF$90,COLUMN()+2,FALSE)</f>
        <v>#N/A</v>
      </c>
      <c r="T59" s="236" t="e">
        <f>VLOOKUP($A59,Weapons!$A$2:$AF$90,COLUMN()+2,FALSE)</f>
        <v>#N/A</v>
      </c>
      <c r="U59" s="236" t="e">
        <f>VLOOKUP($A59,Weapons!$A$2:$AF$90,COLUMN()+2,FALSE)</f>
        <v>#N/A</v>
      </c>
      <c r="V59" s="236" t="e">
        <f>VLOOKUP($A59,Weapons!$A$2:$AF$90,COLUMN()+2,FALSE)</f>
        <v>#N/A</v>
      </c>
      <c r="W59" s="236" t="e">
        <f>VLOOKUP($A59,Weapons!$A$2:$AF$90,COLUMN()+2,FALSE)</f>
        <v>#N/A</v>
      </c>
      <c r="X59" s="236" t="e">
        <f>VLOOKUP($A59,Weapons!$A$2:$AF$90,COLUMN()+2,FALSE)</f>
        <v>#N/A</v>
      </c>
      <c r="Y59" s="236" t="e">
        <f>VLOOKUP($A59,Weapons!$A$2:$AF$90,COLUMN()+2,FALSE)</f>
        <v>#N/A</v>
      </c>
      <c r="Z59" s="236" t="e">
        <f>VLOOKUP($A59,Weapons!$A$2:$AF$90,COLUMN()+2,FALSE)</f>
        <v>#N/A</v>
      </c>
      <c r="AA59" s="236" t="e">
        <f>VLOOKUP($A59,Weapons!$A$2:$AF$90,COLUMN()+2,FALSE)</f>
        <v>#N/A</v>
      </c>
      <c r="AB59" s="236" t="e">
        <f>VLOOKUP($A59,Weapons!$A$2:$AF$90,COLUMN()+2,FALSE)</f>
        <v>#N/A</v>
      </c>
      <c r="AC59" s="236" t="e">
        <f>VLOOKUP($A59,Weapons!$A$2:$AF$90,COLUMN()+2,FALSE)</f>
        <v>#N/A</v>
      </c>
      <c r="AD59" s="235" t="e">
        <f t="shared" si="50"/>
        <v>#N/A</v>
      </c>
      <c r="AE59" s="235" t="e">
        <f t="shared" si="51"/>
        <v>#N/A</v>
      </c>
      <c r="AF59" s="235" t="e">
        <f t="shared" si="52"/>
        <v>#N/A</v>
      </c>
      <c r="AG59" s="235" t="e">
        <f t="shared" si="53"/>
        <v>#N/A</v>
      </c>
      <c r="AH59" s="235" t="e">
        <f t="shared" si="54"/>
        <v>#N/A</v>
      </c>
      <c r="AI59" s="235" t="e">
        <f t="shared" si="55"/>
        <v>#N/A</v>
      </c>
      <c r="AJ59" s="235" t="e">
        <f t="shared" si="56"/>
        <v>#N/A</v>
      </c>
      <c r="AK59" s="235" t="e">
        <f t="shared" si="57"/>
        <v>#N/A</v>
      </c>
      <c r="AL59" s="235" t="e">
        <f t="shared" si="58"/>
        <v>#N/A</v>
      </c>
      <c r="AM59" s="235" t="e">
        <f t="shared" si="59"/>
        <v>#N/A</v>
      </c>
      <c r="AN59" s="235" t="e">
        <f t="shared" si="60"/>
        <v>#N/A</v>
      </c>
    </row>
    <row r="60" spans="1:40" x14ac:dyDescent="0.2">
      <c r="A60" s="276"/>
      <c r="B60" s="3" t="str">
        <f>IF(A60&gt;"",IF(ISERROR(VLOOKUP(A60,Weapons!$A$2:$J$90,10,FALSE)),"Un",VLOOKUP(A60,Weapons!$A$2:$J$90,10,FALSE)),"")</f>
        <v/>
      </c>
      <c r="C60" s="273"/>
      <c r="D60" s="273"/>
      <c r="E60" s="216" t="str">
        <f t="shared" si="41"/>
        <v/>
      </c>
      <c r="F60" s="216" t="str">
        <f t="shared" si="42"/>
        <v/>
      </c>
      <c r="G60" s="216" t="str">
        <f t="shared" si="43"/>
        <v/>
      </c>
      <c r="H60" s="275"/>
      <c r="I60" s="275"/>
      <c r="J60" s="275"/>
      <c r="K60" s="216">
        <f t="shared" si="44"/>
        <v>0</v>
      </c>
      <c r="L60" s="216">
        <f t="shared" si="45"/>
        <v>0</v>
      </c>
      <c r="M60" s="216">
        <f t="shared" si="46"/>
        <v>0</v>
      </c>
      <c r="O60" s="412" t="str">
        <f>IF(A60&gt;"",IF(ISERROR(VLOOKUP(A60,Weapons!$A$2:$J$90,9,FALSE)),"Un",VLOOKUP(A60,Weapons!$A$2:$J$90,9,FALSE)),"")</f>
        <v/>
      </c>
      <c r="P60" s="412">
        <f t="shared" si="47"/>
        <v>0</v>
      </c>
      <c r="Q60" s="411"/>
      <c r="R60" s="217" t="b">
        <f t="shared" si="48"/>
        <v>0</v>
      </c>
      <c r="S60" s="236" t="e">
        <f>VLOOKUP($A60,Weapons!$A$2:$AF$90,COLUMN()+2,FALSE)</f>
        <v>#N/A</v>
      </c>
      <c r="T60" s="236" t="e">
        <f>VLOOKUP($A60,Weapons!$A$2:$AF$90,COLUMN()+2,FALSE)</f>
        <v>#N/A</v>
      </c>
      <c r="U60" s="236" t="e">
        <f>VLOOKUP($A60,Weapons!$A$2:$AF$90,COLUMN()+2,FALSE)</f>
        <v>#N/A</v>
      </c>
      <c r="V60" s="236" t="e">
        <f>VLOOKUP($A60,Weapons!$A$2:$AF$90,COLUMN()+2,FALSE)</f>
        <v>#N/A</v>
      </c>
      <c r="W60" s="236" t="e">
        <f>VLOOKUP($A60,Weapons!$A$2:$AF$90,COLUMN()+2,FALSE)</f>
        <v>#N/A</v>
      </c>
      <c r="X60" s="236" t="e">
        <f>VLOOKUP($A60,Weapons!$A$2:$AF$90,COLUMN()+2,FALSE)</f>
        <v>#N/A</v>
      </c>
      <c r="Y60" s="236" t="e">
        <f>VLOOKUP($A60,Weapons!$A$2:$AF$90,COLUMN()+2,FALSE)</f>
        <v>#N/A</v>
      </c>
      <c r="Z60" s="236" t="e">
        <f>VLOOKUP($A60,Weapons!$A$2:$AF$90,COLUMN()+2,FALSE)</f>
        <v>#N/A</v>
      </c>
      <c r="AA60" s="236" t="e">
        <f>VLOOKUP($A60,Weapons!$A$2:$AF$90,COLUMN()+2,FALSE)</f>
        <v>#N/A</v>
      </c>
      <c r="AB60" s="236" t="e">
        <f>VLOOKUP($A60,Weapons!$A$2:$AF$90,COLUMN()+2,FALSE)</f>
        <v>#N/A</v>
      </c>
      <c r="AC60" s="236" t="e">
        <f>VLOOKUP($A60,Weapons!$A$2:$AF$90,COLUMN()+2,FALSE)</f>
        <v>#N/A</v>
      </c>
      <c r="AD60" s="235" t="e">
        <f t="shared" si="50"/>
        <v>#N/A</v>
      </c>
      <c r="AE60" s="235" t="e">
        <f t="shared" si="51"/>
        <v>#N/A</v>
      </c>
      <c r="AF60" s="235" t="e">
        <f t="shared" si="52"/>
        <v>#N/A</v>
      </c>
      <c r="AG60" s="235" t="e">
        <f t="shared" si="53"/>
        <v>#N/A</v>
      </c>
      <c r="AH60" s="235" t="e">
        <f t="shared" si="54"/>
        <v>#N/A</v>
      </c>
      <c r="AI60" s="235" t="e">
        <f t="shared" si="55"/>
        <v>#N/A</v>
      </c>
      <c r="AJ60" s="235" t="e">
        <f t="shared" si="56"/>
        <v>#N/A</v>
      </c>
      <c r="AK60" s="235" t="e">
        <f t="shared" si="57"/>
        <v>#N/A</v>
      </c>
      <c r="AL60" s="235" t="e">
        <f t="shared" si="58"/>
        <v>#N/A</v>
      </c>
      <c r="AM60" s="235" t="e">
        <f t="shared" si="59"/>
        <v>#N/A</v>
      </c>
      <c r="AN60" s="235" t="e">
        <f t="shared" si="60"/>
        <v>#N/A</v>
      </c>
    </row>
    <row r="61" spans="1:40" x14ac:dyDescent="0.2">
      <c r="A61" s="279"/>
      <c r="E61" s="237">
        <f>SUM(E43:E60)</f>
        <v>0</v>
      </c>
      <c r="F61" s="237" t="str">
        <f>"am "&amp;SUMIF(D43:D60,"a",F43:F60)&amp;" pm "&amp;SUMIF(D43:D60,"p",F43:F60)</f>
        <v>am 0 pm 0</v>
      </c>
      <c r="G61" s="237">
        <f>SUM(G43:G60)</f>
        <v>0</v>
      </c>
      <c r="O61" s="412"/>
      <c r="P61" s="412"/>
      <c r="Q61" s="412"/>
      <c r="R61" s="217"/>
    </row>
    <row r="62" spans="1:40" x14ac:dyDescent="0.2">
      <c r="A62" s="279"/>
      <c r="E62" s="382"/>
      <c r="F62" s="382"/>
      <c r="G62" s="382"/>
      <c r="O62" s="412"/>
      <c r="P62" s="412"/>
      <c r="Q62" s="412"/>
      <c r="R62" s="217"/>
    </row>
    <row r="63" spans="1:40" x14ac:dyDescent="0.2">
      <c r="A63" s="230" t="s">
        <v>125</v>
      </c>
      <c r="B63" s="231" t="s">
        <v>346</v>
      </c>
      <c r="C63" s="231" t="s">
        <v>347</v>
      </c>
      <c r="D63" s="230" t="s">
        <v>362</v>
      </c>
      <c r="E63" s="232" t="s">
        <v>330</v>
      </c>
      <c r="F63" s="232" t="s">
        <v>331</v>
      </c>
      <c r="G63" s="232" t="s">
        <v>332</v>
      </c>
      <c r="H63" s="231" t="s">
        <v>348</v>
      </c>
      <c r="I63" s="231" t="s">
        <v>352</v>
      </c>
      <c r="J63" s="231" t="s">
        <v>353</v>
      </c>
      <c r="K63" s="232" t="s">
        <v>349</v>
      </c>
      <c r="L63" s="234" t="s">
        <v>354</v>
      </c>
      <c r="M63" s="234" t="s">
        <v>355</v>
      </c>
      <c r="O63" s="411" t="s">
        <v>350</v>
      </c>
      <c r="P63" s="411" t="s">
        <v>351</v>
      </c>
      <c r="Q63" s="411" t="s">
        <v>233</v>
      </c>
      <c r="R63" s="217"/>
    </row>
    <row r="64" spans="1:40" x14ac:dyDescent="0.2">
      <c r="A64" s="276" t="s">
        <v>286</v>
      </c>
      <c r="B64" s="3">
        <f>IF(A64&gt;"",IF(ISERROR(VLOOKUP(A64,Magic!$B$2:$R$592,2,FALSE)),"Un",VLOOKUP(A64,Magic!$B$2:$R$592,2,FALSE)),"")</f>
        <v>0</v>
      </c>
      <c r="C64" s="273"/>
      <c r="D64" s="273" t="s">
        <v>356</v>
      </c>
      <c r="E64" s="216" t="str">
        <f t="shared" ref="E64:E88" si="74">IF($R64,K64+H64,"")</f>
        <v/>
      </c>
      <c r="F64" s="216" t="str">
        <f t="shared" ref="F64:F88" si="75">IF($R64,L64+I64,"")</f>
        <v/>
      </c>
      <c r="G64" s="216" t="str">
        <f t="shared" ref="G64:G88" si="76">IF(AND($R64,M64+J64&lt;&gt;0),M64+J64,"")</f>
        <v/>
      </c>
      <c r="H64" s="274">
        <f>IF(A64&gt;"",IF(ISERROR(VLOOKUP(A64,Magic!$B$2:$R$592,16,FALSE)),0,K64/-100*VLOOKUP(A64,Magic!$B$2:$R$592,16,FALSE)),0)</f>
        <v>0</v>
      </c>
      <c r="I64" s="275"/>
      <c r="J64" s="275"/>
      <c r="K64" s="216">
        <f t="shared" ref="K64:K88" si="77">IF(R64,P64*Q64,0)</f>
        <v>0</v>
      </c>
      <c r="L64" s="216">
        <f>IF(A64&gt;"",IF(ISERROR(VLOOKUP(A64,Magic!$B$2:$R$592,11,FALSE)),0,P64*VLOOKUP(A64,Magic!$B$2:$R$592,11,FALSE)+IF(B64="Un",(1+CEILING(Q64/100,1))*7,0)),0)</f>
        <v>0</v>
      </c>
      <c r="M64" s="216">
        <f>IF(AND(A64&gt;"",B64="Un"),IF(ISERROR(VLOOKUP(A64,Magic!$B$2:$R$592,17,FALSE)),0,VLOOKUP(A64,Magic!$B$2:$R$592,17,FALSE)),0)</f>
        <v>0</v>
      </c>
      <c r="O64" s="412">
        <v>20</v>
      </c>
      <c r="P64" s="412">
        <f t="shared" ref="P64:P88" si="78">IF(R64,(C64*(C64+1)/2)-IF(B64="Un",0,B64*(B64+1)/2),0)</f>
        <v>0</v>
      </c>
      <c r="Q64" s="411">
        <f>IF(A64&gt;"",IF(ISERROR(VLOOKUP(A64,Magic!$B$2:$R$592,9,FALSE)),0,VLOOKUP(A64,Magic!$B$2:$R$592,9,FALSE)),"")</f>
        <v>150</v>
      </c>
      <c r="R64" s="217" t="b">
        <f t="shared" ref="R64:R88" si="79">AND(A64&gt;"",C64&lt;&gt;"",OR(B64="Un",C64&gt;B64),C64&lt;=O64)</f>
        <v>0</v>
      </c>
    </row>
    <row r="65" spans="1:18" x14ac:dyDescent="0.2">
      <c r="A65" s="276" t="s">
        <v>292</v>
      </c>
      <c r="B65" s="3">
        <f>IF(A65&gt;"",IF(ISERROR(VLOOKUP(A65,Magic!$B$2:$R$592,2,FALSE)),"Un",VLOOKUP(A65,Magic!$B$2:$R$592,2,FALSE)),"")</f>
        <v>0</v>
      </c>
      <c r="C65" s="273"/>
      <c r="D65" s="273" t="s">
        <v>357</v>
      </c>
      <c r="E65" s="216" t="str">
        <f t="shared" si="74"/>
        <v/>
      </c>
      <c r="F65" s="216" t="str">
        <f t="shared" si="75"/>
        <v/>
      </c>
      <c r="G65" s="216" t="str">
        <f t="shared" si="76"/>
        <v/>
      </c>
      <c r="H65" s="274">
        <f>IF(A65&gt;"",IF(ISERROR(VLOOKUP(A65,Magic!$B$2:$R$592,16,FALSE)),0,K65/-100*VLOOKUP(A65,Magic!$B$2:$R$592,16,FALSE)),0)</f>
        <v>0</v>
      </c>
      <c r="I65" s="275"/>
      <c r="J65" s="275"/>
      <c r="K65" s="216">
        <f t="shared" si="77"/>
        <v>0</v>
      </c>
      <c r="L65" s="216">
        <f>IF(A65&gt;"",IF(ISERROR(VLOOKUP(A65,Magic!$B$2:$R$592,11,FALSE)),0,P65*VLOOKUP(A65,Magic!$B$2:$R$592,11,FALSE)+IF(B65="Un",(1+CEILING(Q65/100,1))*7,0)),0)</f>
        <v>0</v>
      </c>
      <c r="M65" s="216">
        <f>IF(AND(A65&gt;"",B65="Un"),IF(ISERROR(VLOOKUP(A65,Magic!$B$2:$R$592,17,FALSE)),0,VLOOKUP(A65,Magic!$B$2:$R$592,17,FALSE)),0)</f>
        <v>0</v>
      </c>
      <c r="O65" s="412">
        <v>20</v>
      </c>
      <c r="P65" s="412">
        <f t="shared" si="78"/>
        <v>0</v>
      </c>
      <c r="Q65" s="411">
        <f>IF(A65&gt;"",IF(ISERROR(VLOOKUP(A65,Magic!$B$2:$R$592,9,FALSE)),"Un",VLOOKUP(A65,Magic!$B$2:$R$592,9,FALSE)),"")</f>
        <v>100</v>
      </c>
      <c r="R65" s="217" t="b">
        <f t="shared" si="79"/>
        <v>0</v>
      </c>
    </row>
    <row r="66" spans="1:18" x14ac:dyDescent="0.2">
      <c r="A66" s="276" t="s">
        <v>307</v>
      </c>
      <c r="B66" s="3" t="str">
        <f>IF(A66&gt;"",IF(ISERROR(VLOOKUP(A66,Magic!$B$2:$R$592,2,FALSE)),"Un",VLOOKUP(A66,Magic!$B$2:$R$592,2,FALSE)),"")</f>
        <v>Un</v>
      </c>
      <c r="C66" s="273"/>
      <c r="D66" s="273" t="s">
        <v>356</v>
      </c>
      <c r="E66" s="216" t="str">
        <f t="shared" si="74"/>
        <v/>
      </c>
      <c r="F66" s="216" t="str">
        <f t="shared" si="75"/>
        <v/>
      </c>
      <c r="G66" s="216" t="str">
        <f t="shared" si="76"/>
        <v/>
      </c>
      <c r="H66" s="274">
        <f>IF(A66&gt;"",IF(ISERROR(VLOOKUP(A66,Magic!$B$2:$R$592,16,FALSE)),0,K66/-100*VLOOKUP(A66,Magic!$B$2:$R$592,16,FALSE)),0)</f>
        <v>0</v>
      </c>
      <c r="I66" s="275"/>
      <c r="J66" s="275"/>
      <c r="K66" s="216">
        <f t="shared" si="77"/>
        <v>0</v>
      </c>
      <c r="L66" s="216">
        <f>IF(A66&gt;"",IF(ISERROR(VLOOKUP(A66,Magic!$B$2:$R$592,11,FALSE)),0,P66*VLOOKUP(A66,Magic!$B$2:$R$592,11,FALSE)+IF(B66="Un",(1+CEILING(Q66/100,1))*7,0)),0)</f>
        <v>28</v>
      </c>
      <c r="M66" s="216">
        <f>IF(AND(A66&gt;"",B66="Un"),IF(ISERROR(VLOOKUP(A66,Magic!$B$2:$R$592,17,FALSE)),0,VLOOKUP(A66,Magic!$B$2:$R$592,17,FALSE)),0)</f>
        <v>3000</v>
      </c>
      <c r="O66" s="412">
        <v>20</v>
      </c>
      <c r="P66" s="412">
        <f t="shared" si="78"/>
        <v>0</v>
      </c>
      <c r="Q66" s="411">
        <f>IF(A66&gt;"",IF(ISERROR(VLOOKUP(A66,Magic!$B$2:$R$592,9,FALSE)),"Un",VLOOKUP(A66,Magic!$B$2:$R$592,9,FALSE)),"")</f>
        <v>250</v>
      </c>
      <c r="R66" s="217" t="b">
        <f t="shared" si="79"/>
        <v>0</v>
      </c>
    </row>
    <row r="67" spans="1:18" x14ac:dyDescent="0.2">
      <c r="A67" s="276" t="s">
        <v>312</v>
      </c>
      <c r="B67" s="3" t="str">
        <f>IF(A67&gt;"",IF(ISERROR(VLOOKUP(A67,Magic!$B$2:$R$592,2,FALSE)),"Un",VLOOKUP(A67,Magic!$B$2:$R$592,2,FALSE)),"")</f>
        <v>Un</v>
      </c>
      <c r="C67" s="273"/>
      <c r="D67" s="273" t="s">
        <v>356</v>
      </c>
      <c r="E67" s="216" t="str">
        <f t="shared" si="74"/>
        <v/>
      </c>
      <c r="F67" s="216" t="str">
        <f t="shared" si="75"/>
        <v/>
      </c>
      <c r="G67" s="216" t="str">
        <f t="shared" si="76"/>
        <v/>
      </c>
      <c r="H67" s="274">
        <f>IF(A67&gt;"",IF(ISERROR(VLOOKUP(A67,Magic!$B$2:$R$592,16,FALSE)),0,K67/-100*VLOOKUP(A67,Magic!$B$2:$R$592,16,FALSE)),0)</f>
        <v>0</v>
      </c>
      <c r="I67" s="275"/>
      <c r="J67" s="275"/>
      <c r="K67" s="216">
        <f t="shared" si="77"/>
        <v>0</v>
      </c>
      <c r="L67" s="216">
        <f>IF(A67&gt;"",IF(ISERROR(VLOOKUP(A67,Magic!$B$2:$R$592,11,FALSE)),0,P67*VLOOKUP(A67,Magic!$B$2:$R$592,11,FALSE)+IF(B67="Un",(1+CEILING(Q67/100,1))*7,0)),0)</f>
        <v>21</v>
      </c>
      <c r="M67" s="216">
        <f>IF(AND(A67&gt;"",B67="Un"),IF(ISERROR(VLOOKUP(A67,Magic!$B$2:$R$592,17,FALSE)),0,VLOOKUP(A67,Magic!$B$2:$R$592,17,FALSE)),0)</f>
        <v>5000</v>
      </c>
      <c r="O67" s="412">
        <v>20</v>
      </c>
      <c r="P67" s="412">
        <f t="shared" si="78"/>
        <v>0</v>
      </c>
      <c r="Q67" s="411">
        <f>IF(A67&gt;"",IF(ISERROR(VLOOKUP(A67,Magic!$B$2:$R$592,9,FALSE)),"Un",VLOOKUP(A67,Magic!$B$2:$R$592,9,FALSE)),"")</f>
        <v>200</v>
      </c>
      <c r="R67" s="217" t="b">
        <f t="shared" si="79"/>
        <v>0</v>
      </c>
    </row>
    <row r="68" spans="1:18" x14ac:dyDescent="0.2">
      <c r="A68" s="276"/>
      <c r="B68" s="3" t="str">
        <f>IF(A68&gt;"",IF(ISERROR(VLOOKUP(A68,Magic!$B$2:$R$592,2,FALSE)),"Un",VLOOKUP(A68,Magic!$B$2:$R$592,2,FALSE)),"")</f>
        <v/>
      </c>
      <c r="C68" s="273"/>
      <c r="D68" s="273"/>
      <c r="E68" s="216" t="str">
        <f t="shared" si="74"/>
        <v/>
      </c>
      <c r="F68" s="216" t="str">
        <f t="shared" si="75"/>
        <v/>
      </c>
      <c r="G68" s="216" t="str">
        <f t="shared" si="76"/>
        <v/>
      </c>
      <c r="H68" s="274">
        <f>IF(A68&gt;"",IF(ISERROR(VLOOKUP(A68,Magic!$B$2:$R$592,16,FALSE)),0,K68/-100*VLOOKUP(A68,Magic!$B$2:$R$592,16,FALSE)),0)</f>
        <v>0</v>
      </c>
      <c r="I68" s="275"/>
      <c r="J68" s="275"/>
      <c r="K68" s="216">
        <f t="shared" si="77"/>
        <v>0</v>
      </c>
      <c r="L68" s="216">
        <f>IF(A68&gt;"",IF(ISERROR(VLOOKUP(A68,Magic!$B$2:$R$592,11,FALSE)),0,P68*VLOOKUP(A68,Magic!$B$2:$R$592,11,FALSE)+IF(B68="Un",(1+CEILING(Q68/100,1))*7,0)),0)</f>
        <v>0</v>
      </c>
      <c r="M68" s="216">
        <f>IF(AND(A68&gt;"",B68="Un"),IF(ISERROR(VLOOKUP(A68,Magic!$B$2:$R$592,17,FALSE)),0,VLOOKUP(A68,Magic!$B$2:$R$592,17,FALSE)),0)</f>
        <v>0</v>
      </c>
      <c r="O68" s="412">
        <v>20</v>
      </c>
      <c r="P68" s="412">
        <f t="shared" si="78"/>
        <v>0</v>
      </c>
      <c r="Q68" s="411" t="str">
        <f>IF(A68&gt;"",IF(ISERROR(VLOOKUP(A68,Magic!$B$2:$R$592,9,FALSE)),"Un",VLOOKUP(A68,Magic!$B$2:$R$592,9,FALSE)),"")</f>
        <v/>
      </c>
      <c r="R68" s="217" t="b">
        <f t="shared" si="79"/>
        <v>0</v>
      </c>
    </row>
    <row r="69" spans="1:18" x14ac:dyDescent="0.2">
      <c r="A69" s="276"/>
      <c r="B69" s="3" t="str">
        <f>IF(A69&gt;"",IF(ISERROR(VLOOKUP(A69,Magic!$B$2:$R$592,2,FALSE)),"Un",VLOOKUP(A69,Magic!$B$2:$R$592,2,FALSE)),"")</f>
        <v/>
      </c>
      <c r="C69" s="273"/>
      <c r="D69" s="273"/>
      <c r="E69" s="216" t="str">
        <f t="shared" si="74"/>
        <v/>
      </c>
      <c r="F69" s="216" t="str">
        <f t="shared" si="75"/>
        <v/>
      </c>
      <c r="G69" s="216" t="str">
        <f t="shared" si="76"/>
        <v/>
      </c>
      <c r="H69" s="274">
        <f>IF(A69&gt;"",IF(ISERROR(VLOOKUP(A69,Magic!$B$2:$R$592,16,FALSE)),0,K69/-100*VLOOKUP(A69,Magic!$B$2:$R$592,16,FALSE)),0)</f>
        <v>0</v>
      </c>
      <c r="I69" s="275"/>
      <c r="J69" s="275"/>
      <c r="K69" s="216">
        <f t="shared" si="77"/>
        <v>0</v>
      </c>
      <c r="L69" s="216">
        <f>IF(A69&gt;"",IF(ISERROR(VLOOKUP(A69,Magic!$B$2:$R$592,11,FALSE)),0,P69*VLOOKUP(A69,Magic!$B$2:$R$592,11,FALSE)+IF(B69="Un",(1+CEILING(Q69/100,1))*7,0)),0)</f>
        <v>0</v>
      </c>
      <c r="M69" s="216">
        <f>IF(AND(A69&gt;"",B69="Un"),IF(ISERROR(VLOOKUP(A69,Magic!$B$2:$R$592,17,FALSE)),0,VLOOKUP(A69,Magic!$B$2:$R$592,17,FALSE)),0)</f>
        <v>0</v>
      </c>
      <c r="O69" s="412">
        <v>20</v>
      </c>
      <c r="P69" s="412">
        <f t="shared" si="78"/>
        <v>0</v>
      </c>
      <c r="Q69" s="411" t="str">
        <f>IF(A69&gt;"",IF(ISERROR(VLOOKUP(A69,Magic!$B$2:$R$592,9,FALSE)),"Un",VLOOKUP(A69,Magic!$B$2:$R$592,9,FALSE)),"")</f>
        <v/>
      </c>
      <c r="R69" s="217" t="b">
        <f t="shared" si="79"/>
        <v>0</v>
      </c>
    </row>
    <row r="70" spans="1:18" x14ac:dyDescent="0.2">
      <c r="A70" s="276"/>
      <c r="B70" s="3" t="str">
        <f>IF(A70&gt;"",IF(ISERROR(VLOOKUP(A70,Magic!$B$2:$R$592,2,FALSE)),"Un",VLOOKUP(A70,Magic!$B$2:$R$592,2,FALSE)),"")</f>
        <v/>
      </c>
      <c r="C70" s="273"/>
      <c r="D70" s="273"/>
      <c r="E70" s="216" t="str">
        <f t="shared" si="74"/>
        <v/>
      </c>
      <c r="F70" s="216" t="str">
        <f t="shared" si="75"/>
        <v/>
      </c>
      <c r="G70" s="216" t="str">
        <f t="shared" si="76"/>
        <v/>
      </c>
      <c r="H70" s="274">
        <f>IF(A70&gt;"",IF(ISERROR(VLOOKUP(A70,Magic!$B$2:$R$592,16,FALSE)),0,K70/-100*VLOOKUP(A70,Magic!$B$2:$R$592,16,FALSE)),0)</f>
        <v>0</v>
      </c>
      <c r="I70" s="275"/>
      <c r="J70" s="275"/>
      <c r="K70" s="216">
        <f t="shared" si="77"/>
        <v>0</v>
      </c>
      <c r="L70" s="216">
        <f>IF(A70&gt;"",IF(ISERROR(VLOOKUP(A70,Magic!$B$2:$R$592,11,FALSE)),0,P70*VLOOKUP(A70,Magic!$B$2:$R$592,11,FALSE)+IF(B70="Un",(1+CEILING(Q70/100,1))*7,0)),0)</f>
        <v>0</v>
      </c>
      <c r="M70" s="216">
        <f>IF(AND(A70&gt;"",B70="Un"),IF(ISERROR(VLOOKUP(A70,Magic!$B$2:$R$592,17,FALSE)),0,VLOOKUP(A70,Magic!$B$2:$R$592,17,FALSE)),0)</f>
        <v>0</v>
      </c>
      <c r="O70" s="412">
        <v>20</v>
      </c>
      <c r="P70" s="412">
        <f t="shared" si="78"/>
        <v>0</v>
      </c>
      <c r="Q70" s="411" t="str">
        <f>IF(A70&gt;"",IF(ISERROR(VLOOKUP(A70,Magic!$B$2:$R$592,9,FALSE)),"Un",VLOOKUP(A70,Magic!$B$2:$R$592,9,FALSE)),"")</f>
        <v/>
      </c>
      <c r="R70" s="217" t="b">
        <f t="shared" si="79"/>
        <v>0</v>
      </c>
    </row>
    <row r="71" spans="1:18" x14ac:dyDescent="0.2">
      <c r="A71" s="276"/>
      <c r="B71" s="3" t="str">
        <f>IF(A71&gt;"",IF(ISERROR(VLOOKUP(A71,Magic!$B$2:$R$592,2,FALSE)),"Un",VLOOKUP(A71,Magic!$B$2:$R$592,2,FALSE)),"")</f>
        <v/>
      </c>
      <c r="C71" s="273"/>
      <c r="D71" s="273"/>
      <c r="E71" s="216" t="str">
        <f t="shared" si="74"/>
        <v/>
      </c>
      <c r="F71" s="216" t="str">
        <f t="shared" si="75"/>
        <v/>
      </c>
      <c r="G71" s="216" t="str">
        <f t="shared" si="76"/>
        <v/>
      </c>
      <c r="H71" s="274">
        <f>IF(A71&gt;"",IF(ISERROR(VLOOKUP(A71,Magic!$B$2:$R$592,16,FALSE)),0,K71/-100*VLOOKUP(A71,Magic!$B$2:$R$592,16,FALSE)),0)</f>
        <v>0</v>
      </c>
      <c r="I71" s="275"/>
      <c r="J71" s="275"/>
      <c r="K71" s="216">
        <f t="shared" si="77"/>
        <v>0</v>
      </c>
      <c r="L71" s="216">
        <f>IF(A71&gt;"",IF(ISERROR(VLOOKUP(A71,Magic!$B$2:$R$592,11,FALSE)),0,P71*VLOOKUP(A71,Magic!$B$2:$R$592,11,FALSE)+IF(B71="Un",(1+CEILING(Q71/100,1))*7,0)),0)</f>
        <v>0</v>
      </c>
      <c r="M71" s="216">
        <f>IF(AND(A71&gt;"",B71="Un"),IF(ISERROR(VLOOKUP(A71,Magic!$B$2:$R$592,17,FALSE)),0,VLOOKUP(A71,Magic!$B$2:$R$592,17,FALSE)),0)</f>
        <v>0</v>
      </c>
      <c r="O71" s="412">
        <v>20</v>
      </c>
      <c r="P71" s="412">
        <f t="shared" si="78"/>
        <v>0</v>
      </c>
      <c r="Q71" s="411" t="str">
        <f>IF(A71&gt;"",IF(ISERROR(VLOOKUP(A71,Magic!$B$2:$R$592,9,FALSE)),"Un",VLOOKUP(A71,Magic!$B$2:$R$592,9,FALSE)),"")</f>
        <v/>
      </c>
      <c r="R71" s="217" t="b">
        <f t="shared" si="79"/>
        <v>0</v>
      </c>
    </row>
    <row r="72" spans="1:18" x14ac:dyDescent="0.2">
      <c r="A72" s="276"/>
      <c r="B72" s="3" t="str">
        <f>IF(A72&gt;"",IF(ISERROR(VLOOKUP(A72,Magic!$B$2:$R$592,2,FALSE)),"Un",VLOOKUP(A72,Magic!$B$2:$R$592,2,FALSE)),"")</f>
        <v/>
      </c>
      <c r="C72" s="273"/>
      <c r="D72" s="273"/>
      <c r="E72" s="216" t="str">
        <f t="shared" si="74"/>
        <v/>
      </c>
      <c r="F72" s="216" t="str">
        <f t="shared" si="75"/>
        <v/>
      </c>
      <c r="G72" s="216" t="str">
        <f t="shared" si="76"/>
        <v/>
      </c>
      <c r="H72" s="274">
        <f>IF(A72&gt;"",IF(ISERROR(VLOOKUP(A72,Magic!$B$2:$R$592,16,FALSE)),0,K72/-100*VLOOKUP(A72,Magic!$B$2:$R$592,16,FALSE)),0)</f>
        <v>0</v>
      </c>
      <c r="I72" s="275"/>
      <c r="J72" s="275"/>
      <c r="K72" s="216">
        <f t="shared" si="77"/>
        <v>0</v>
      </c>
      <c r="L72" s="216">
        <f>IF(A72&gt;"",IF(ISERROR(VLOOKUP(A72,Magic!$B$2:$R$592,11,FALSE)),0,P72*VLOOKUP(A72,Magic!$B$2:$R$592,11,FALSE)+IF(B72="Un",(1+CEILING(Q72/100,1))*7,0)),0)</f>
        <v>0</v>
      </c>
      <c r="M72" s="216">
        <f>IF(AND(A72&gt;"",B72="Un"),IF(ISERROR(VLOOKUP(A72,Magic!$B$2:$R$592,17,FALSE)),0,VLOOKUP(A72,Magic!$B$2:$R$592,17,FALSE)),0)</f>
        <v>0</v>
      </c>
      <c r="O72" s="412">
        <v>20</v>
      </c>
      <c r="P72" s="412">
        <f t="shared" si="78"/>
        <v>0</v>
      </c>
      <c r="Q72" s="411" t="str">
        <f>IF(A72&gt;"",IF(ISERROR(VLOOKUP(A72,Magic!$B$2:$R$592,9,FALSE)),"Un",VLOOKUP(A72,Magic!$B$2:$R$592,9,FALSE)),"")</f>
        <v/>
      </c>
      <c r="R72" s="217" t="b">
        <f t="shared" si="79"/>
        <v>0</v>
      </c>
    </row>
    <row r="73" spans="1:18" x14ac:dyDescent="0.2">
      <c r="A73" s="276"/>
      <c r="B73" s="3" t="str">
        <f>IF(A73&gt;"",IF(ISERROR(VLOOKUP(A73,Magic!$B$2:$R$592,2,FALSE)),"Un",VLOOKUP(A73,Magic!$B$2:$R$592,2,FALSE)),"")</f>
        <v/>
      </c>
      <c r="C73" s="273"/>
      <c r="D73" s="273"/>
      <c r="E73" s="216" t="str">
        <f t="shared" si="74"/>
        <v/>
      </c>
      <c r="F73" s="216" t="str">
        <f t="shared" si="75"/>
        <v/>
      </c>
      <c r="G73" s="216" t="str">
        <f t="shared" si="76"/>
        <v/>
      </c>
      <c r="H73" s="274">
        <f>IF(A73&gt;"",IF(ISERROR(VLOOKUP(A73,Magic!$B$2:$R$592,16,FALSE)),0,K73/-100*VLOOKUP(A73,Magic!$B$2:$R$592,16,FALSE)),0)</f>
        <v>0</v>
      </c>
      <c r="I73" s="275"/>
      <c r="J73" s="275"/>
      <c r="K73" s="216">
        <f t="shared" si="77"/>
        <v>0</v>
      </c>
      <c r="L73" s="216">
        <f>IF(A73&gt;"",IF(ISERROR(VLOOKUP(A73,Magic!$B$2:$R$592,11,FALSE)),0,P73*VLOOKUP(A73,Magic!$B$2:$R$592,11,FALSE)+IF(B73="Un",(1+CEILING(Q73/100,1))*7,0)),0)</f>
        <v>0</v>
      </c>
      <c r="M73" s="216">
        <f>IF(AND(A73&gt;"",B73="Un"),IF(ISERROR(VLOOKUP(A73,Magic!$B$2:$R$592,17,FALSE)),0,VLOOKUP(A73,Magic!$B$2:$R$592,17,FALSE)),0)</f>
        <v>0</v>
      </c>
      <c r="O73" s="412">
        <v>20</v>
      </c>
      <c r="P73" s="412">
        <f t="shared" si="78"/>
        <v>0</v>
      </c>
      <c r="Q73" s="411" t="str">
        <f>IF(A73&gt;"",IF(ISERROR(VLOOKUP(A73,Magic!$B$2:$R$592,9,FALSE)),"Un",VLOOKUP(A73,Magic!$B$2:$R$592,9,FALSE)),"")</f>
        <v/>
      </c>
      <c r="R73" s="217" t="b">
        <f t="shared" si="79"/>
        <v>0</v>
      </c>
    </row>
    <row r="74" spans="1:18" x14ac:dyDescent="0.2">
      <c r="A74" s="276"/>
      <c r="B74" s="3" t="str">
        <f>IF(A74&gt;"",IF(ISERROR(VLOOKUP(A74,Magic!$B$2:$R$592,2,FALSE)),"Un",VLOOKUP(A74,Magic!$B$2:$R$592,2,FALSE)),"")</f>
        <v/>
      </c>
      <c r="C74" s="273"/>
      <c r="D74" s="273"/>
      <c r="E74" s="216" t="str">
        <f t="shared" si="74"/>
        <v/>
      </c>
      <c r="F74" s="216" t="str">
        <f t="shared" si="75"/>
        <v/>
      </c>
      <c r="G74" s="216" t="str">
        <f t="shared" si="76"/>
        <v/>
      </c>
      <c r="H74" s="274">
        <f>IF(A74&gt;"",IF(ISERROR(VLOOKUP(A74,Magic!$B$2:$R$592,16,FALSE)),0,K74/-100*VLOOKUP(A74,Magic!$B$2:$R$592,16,FALSE)),0)</f>
        <v>0</v>
      </c>
      <c r="I74" s="275"/>
      <c r="J74" s="275"/>
      <c r="K74" s="216">
        <f t="shared" si="77"/>
        <v>0</v>
      </c>
      <c r="L74" s="216">
        <f>IF(A74&gt;"",IF(ISERROR(VLOOKUP(A74,Magic!$B$2:$R$592,11,FALSE)),0,P74*VLOOKUP(A74,Magic!$B$2:$R$592,11,FALSE)+IF(B74="Un",(1+CEILING(Q74/100,1))*7,0)),0)</f>
        <v>0</v>
      </c>
      <c r="M74" s="216">
        <f>IF(AND(A74&gt;"",B74="Un"),IF(ISERROR(VLOOKUP(A74,Magic!$B$2:$R$592,17,FALSE)),0,VLOOKUP(A74,Magic!$B$2:$R$592,17,FALSE)),0)</f>
        <v>0</v>
      </c>
      <c r="O74" s="412">
        <v>20</v>
      </c>
      <c r="P74" s="412">
        <f t="shared" si="78"/>
        <v>0</v>
      </c>
      <c r="Q74" s="411" t="str">
        <f>IF(A74&gt;"",IF(ISERROR(VLOOKUP(A74,Magic!$B$2:$R$592,9,FALSE)),"Un",VLOOKUP(A74,Magic!$B$2:$R$592,9,FALSE)),"")</f>
        <v/>
      </c>
      <c r="R74" s="217" t="b">
        <f t="shared" si="79"/>
        <v>0</v>
      </c>
    </row>
    <row r="75" spans="1:18" x14ac:dyDescent="0.2">
      <c r="A75" s="276"/>
      <c r="B75" s="3" t="str">
        <f>IF(A75&gt;"",IF(ISERROR(VLOOKUP(A75,Magic!$B$2:$R$592,2,FALSE)),"Un",VLOOKUP(A75,Magic!$B$2:$R$592,2,FALSE)),"")</f>
        <v/>
      </c>
      <c r="C75" s="273"/>
      <c r="D75" s="273"/>
      <c r="E75" s="216" t="str">
        <f t="shared" si="74"/>
        <v/>
      </c>
      <c r="F75" s="216" t="str">
        <f t="shared" si="75"/>
        <v/>
      </c>
      <c r="G75" s="216" t="str">
        <f t="shared" si="76"/>
        <v/>
      </c>
      <c r="H75" s="274">
        <f>IF(A75&gt;"",IF(ISERROR(VLOOKUP(A75,Magic!$B$2:$R$592,16,FALSE)),0,K75/-100*VLOOKUP(A75,Magic!$B$2:$R$592,16,FALSE)),0)</f>
        <v>0</v>
      </c>
      <c r="I75" s="275"/>
      <c r="J75" s="275"/>
      <c r="K75" s="216">
        <f t="shared" si="77"/>
        <v>0</v>
      </c>
      <c r="L75" s="216">
        <f>IF(A75&gt;"",IF(ISERROR(VLOOKUP(A75,Magic!$B$2:$R$592,11,FALSE)),0,P75*VLOOKUP(A75,Magic!$B$2:$R$592,11,FALSE)+IF(B75="Un",(1+CEILING(Q75/100,1))*7,0)),0)</f>
        <v>0</v>
      </c>
      <c r="M75" s="216">
        <f>IF(AND(A75&gt;"",B75="Un"),IF(ISERROR(VLOOKUP(A75,Magic!$B$2:$R$592,17,FALSE)),0,VLOOKUP(A75,Magic!$B$2:$R$592,17,FALSE)),0)</f>
        <v>0</v>
      </c>
      <c r="O75" s="412">
        <v>20</v>
      </c>
      <c r="P75" s="412">
        <f t="shared" si="78"/>
        <v>0</v>
      </c>
      <c r="Q75" s="411" t="str">
        <f>IF(A75&gt;"",IF(ISERROR(VLOOKUP(A75,Magic!$B$2:$R$592,9,FALSE)),"Un",VLOOKUP(A75,Magic!$B$2:$R$592,9,FALSE)),"")</f>
        <v/>
      </c>
      <c r="R75" s="217" t="b">
        <f t="shared" si="79"/>
        <v>0</v>
      </c>
    </row>
    <row r="76" spans="1:18" x14ac:dyDescent="0.2">
      <c r="A76" s="276"/>
      <c r="B76" s="3" t="str">
        <f>IF(A76&gt;"",IF(ISERROR(VLOOKUP(A76,Magic!$B$2:$R$592,2,FALSE)),"Un",VLOOKUP(A76,Magic!$B$2:$R$592,2,FALSE)),"")</f>
        <v/>
      </c>
      <c r="C76" s="273"/>
      <c r="D76" s="273"/>
      <c r="E76" s="216" t="str">
        <f t="shared" si="74"/>
        <v/>
      </c>
      <c r="F76" s="216" t="str">
        <f t="shared" si="75"/>
        <v/>
      </c>
      <c r="G76" s="216" t="str">
        <f t="shared" si="76"/>
        <v/>
      </c>
      <c r="H76" s="274">
        <f>IF(A76&gt;"",IF(ISERROR(VLOOKUP(A76,Magic!$B$2:$R$592,16,FALSE)),0,K76/-100*VLOOKUP(A76,Magic!$B$2:$R$592,16,FALSE)),0)</f>
        <v>0</v>
      </c>
      <c r="I76" s="275"/>
      <c r="J76" s="275"/>
      <c r="K76" s="216">
        <f t="shared" si="77"/>
        <v>0</v>
      </c>
      <c r="L76" s="216">
        <f>IF(A76&gt;"",IF(ISERROR(VLOOKUP(A76,Magic!$B$2:$R$592,11,FALSE)),0,P76*VLOOKUP(A76,Magic!$B$2:$R$592,11,FALSE)+IF(B76="Un",(1+CEILING(Q76/100,1))*7,0)),0)</f>
        <v>0</v>
      </c>
      <c r="M76" s="216">
        <f>IF(AND(A76&gt;"",B76="Un"),IF(ISERROR(VLOOKUP(A76,Magic!$B$2:$R$592,17,FALSE)),0,VLOOKUP(A76,Magic!$B$2:$R$592,17,FALSE)),0)</f>
        <v>0</v>
      </c>
      <c r="O76" s="412">
        <v>20</v>
      </c>
      <c r="P76" s="412">
        <f t="shared" si="78"/>
        <v>0</v>
      </c>
      <c r="Q76" s="411" t="str">
        <f>IF(A76&gt;"",IF(ISERROR(VLOOKUP(A76,Magic!$B$2:$R$592,9,FALSE)),"Un",VLOOKUP(A76,Magic!$B$2:$R$592,9,FALSE)),"")</f>
        <v/>
      </c>
      <c r="R76" s="217" t="b">
        <f t="shared" si="79"/>
        <v>0</v>
      </c>
    </row>
    <row r="77" spans="1:18" x14ac:dyDescent="0.2">
      <c r="A77" s="276"/>
      <c r="B77" s="3" t="str">
        <f>IF(A77&gt;"",IF(ISERROR(VLOOKUP(A77,Magic!$B$2:$R$592,2,FALSE)),"Un",VLOOKUP(A77,Magic!$B$2:$R$592,2,FALSE)),"")</f>
        <v/>
      </c>
      <c r="C77" s="273"/>
      <c r="D77" s="273"/>
      <c r="E77" s="216" t="str">
        <f t="shared" si="74"/>
        <v/>
      </c>
      <c r="F77" s="216" t="str">
        <f t="shared" si="75"/>
        <v/>
      </c>
      <c r="G77" s="216" t="str">
        <f t="shared" si="76"/>
        <v/>
      </c>
      <c r="H77" s="274">
        <f>IF(A77&gt;"",IF(ISERROR(VLOOKUP(A77,Magic!$B$2:$R$592,16,FALSE)),0,K77/-100*VLOOKUP(A77,Magic!$B$2:$R$592,16,FALSE)),0)</f>
        <v>0</v>
      </c>
      <c r="I77" s="275"/>
      <c r="J77" s="275"/>
      <c r="K77" s="216">
        <f t="shared" si="77"/>
        <v>0</v>
      </c>
      <c r="L77" s="216">
        <f>IF(A77&gt;"",IF(ISERROR(VLOOKUP(A77,Magic!$B$2:$R$592,11,FALSE)),0,P77*VLOOKUP(A77,Magic!$B$2:$R$592,11,FALSE)+IF(B77="Un",(1+CEILING(Q77/100,1))*7,0)),0)</f>
        <v>0</v>
      </c>
      <c r="M77" s="216">
        <f>IF(AND(A77&gt;"",B77="Un"),IF(ISERROR(VLOOKUP(A77,Magic!$B$2:$R$592,17,FALSE)),0,VLOOKUP(A77,Magic!$B$2:$R$592,17,FALSE)),0)</f>
        <v>0</v>
      </c>
      <c r="O77" s="412">
        <v>20</v>
      </c>
      <c r="P77" s="412">
        <f t="shared" si="78"/>
        <v>0</v>
      </c>
      <c r="Q77" s="411" t="str">
        <f>IF(A77&gt;"",IF(ISERROR(VLOOKUP(A77,Magic!$B$2:$R$592,9,FALSE)),"Un",VLOOKUP(A77,Magic!$B$2:$R$592,9,FALSE)),"")</f>
        <v/>
      </c>
      <c r="R77" s="217" t="b">
        <f t="shared" si="79"/>
        <v>0</v>
      </c>
    </row>
    <row r="78" spans="1:18" x14ac:dyDescent="0.2">
      <c r="A78" s="276"/>
      <c r="B78" s="3" t="str">
        <f>IF(A78&gt;"",IF(ISERROR(VLOOKUP(A78,Magic!$B$2:$R$592,2,FALSE)),"Un",VLOOKUP(A78,Magic!$B$2:$R$592,2,FALSE)),"")</f>
        <v/>
      </c>
      <c r="C78" s="273"/>
      <c r="D78" s="273"/>
      <c r="E78" s="216" t="str">
        <f t="shared" si="74"/>
        <v/>
      </c>
      <c r="F78" s="216" t="str">
        <f t="shared" si="75"/>
        <v/>
      </c>
      <c r="G78" s="216" t="str">
        <f t="shared" si="76"/>
        <v/>
      </c>
      <c r="H78" s="274">
        <f>IF(A78&gt;"",IF(ISERROR(VLOOKUP(A78,Magic!$B$2:$R$592,16,FALSE)),0,K78/-100*VLOOKUP(A78,Magic!$B$2:$R$592,16,FALSE)),0)</f>
        <v>0</v>
      </c>
      <c r="I78" s="275"/>
      <c r="J78" s="275"/>
      <c r="K78" s="216">
        <f t="shared" si="77"/>
        <v>0</v>
      </c>
      <c r="L78" s="216">
        <f>IF(A78&gt;"",IF(ISERROR(VLOOKUP(A78,Magic!$B$2:$R$592,11,FALSE)),0,P78*VLOOKUP(A78,Magic!$B$2:$R$592,11,FALSE)+IF(B78="Un",(1+CEILING(Q78/100,1))*7,0)),0)</f>
        <v>0</v>
      </c>
      <c r="M78" s="216">
        <f>IF(AND(A78&gt;"",B78="Un"),IF(ISERROR(VLOOKUP(A78,Magic!$B$2:$R$592,17,FALSE)),0,VLOOKUP(A78,Magic!$B$2:$R$592,17,FALSE)),0)</f>
        <v>0</v>
      </c>
      <c r="O78" s="412">
        <v>20</v>
      </c>
      <c r="P78" s="412">
        <f t="shared" si="78"/>
        <v>0</v>
      </c>
      <c r="Q78" s="411" t="str">
        <f>IF(A78&gt;"",IF(ISERROR(VLOOKUP(A78,Magic!$B$2:$R$592,9,FALSE)),"Un",VLOOKUP(A78,Magic!$B$2:$R$592,9,FALSE)),"")</f>
        <v/>
      </c>
      <c r="R78" s="217" t="b">
        <f t="shared" si="79"/>
        <v>0</v>
      </c>
    </row>
    <row r="79" spans="1:18" x14ac:dyDescent="0.2">
      <c r="A79" s="276"/>
      <c r="B79" s="3" t="str">
        <f>IF(A79&gt;"",IF(ISERROR(VLOOKUP(A79,Magic!$B$2:$R$592,2,FALSE)),"Un",VLOOKUP(A79,Magic!$B$2:$R$592,2,FALSE)),"")</f>
        <v/>
      </c>
      <c r="C79" s="273"/>
      <c r="D79" s="273"/>
      <c r="E79" s="216" t="str">
        <f t="shared" si="74"/>
        <v/>
      </c>
      <c r="F79" s="216" t="str">
        <f t="shared" si="75"/>
        <v/>
      </c>
      <c r="G79" s="216" t="str">
        <f t="shared" si="76"/>
        <v/>
      </c>
      <c r="H79" s="274">
        <f>IF(A79&gt;"",IF(ISERROR(VLOOKUP(A79,Magic!$B$2:$R$592,16,FALSE)),0,K79/-100*VLOOKUP(A79,Magic!$B$2:$R$592,16,FALSE)),0)</f>
        <v>0</v>
      </c>
      <c r="I79" s="275"/>
      <c r="J79" s="275"/>
      <c r="K79" s="216">
        <f t="shared" si="77"/>
        <v>0</v>
      </c>
      <c r="L79" s="216">
        <f>IF(A79&gt;"",IF(ISERROR(VLOOKUP(A79,Magic!$B$2:$R$592,11,FALSE)),0,P79*VLOOKUP(A79,Magic!$B$2:$R$592,11,FALSE)+IF(B79="Un",(1+CEILING(Q79/100,1))*7,0)),0)</f>
        <v>0</v>
      </c>
      <c r="M79" s="216">
        <f>IF(AND(A79&gt;"",B79="Un"),IF(ISERROR(VLOOKUP(A79,Magic!$B$2:$R$592,17,FALSE)),0,VLOOKUP(A79,Magic!$B$2:$R$592,17,FALSE)),0)</f>
        <v>0</v>
      </c>
      <c r="O79" s="412">
        <v>20</v>
      </c>
      <c r="P79" s="412">
        <f t="shared" si="78"/>
        <v>0</v>
      </c>
      <c r="Q79" s="411" t="str">
        <f>IF(A79&gt;"",IF(ISERROR(VLOOKUP(A79,Magic!$B$2:$R$592,9,FALSE)),"Un",VLOOKUP(A79,Magic!$B$2:$R$592,9,FALSE)),"")</f>
        <v/>
      </c>
      <c r="R79" s="217" t="b">
        <f t="shared" si="79"/>
        <v>0</v>
      </c>
    </row>
    <row r="80" spans="1:18" x14ac:dyDescent="0.2">
      <c r="A80" s="276"/>
      <c r="B80" s="3" t="str">
        <f>IF(A80&gt;"",IF(ISERROR(VLOOKUP(A80,Magic!$B$2:$R$592,2,FALSE)),"Un",VLOOKUP(A80,Magic!$B$2:$R$592,2,FALSE)),"")</f>
        <v/>
      </c>
      <c r="C80" s="273"/>
      <c r="D80" s="273"/>
      <c r="E80" s="216" t="str">
        <f t="shared" si="74"/>
        <v/>
      </c>
      <c r="F80" s="216" t="str">
        <f t="shared" si="75"/>
        <v/>
      </c>
      <c r="G80" s="216" t="str">
        <f t="shared" si="76"/>
        <v/>
      </c>
      <c r="H80" s="274">
        <f>IF(A80&gt;"",IF(ISERROR(VLOOKUP(A80,Magic!$B$2:$R$592,16,FALSE)),0,K80/-100*VLOOKUP(A80,Magic!$B$2:$R$592,16,FALSE)),0)</f>
        <v>0</v>
      </c>
      <c r="I80" s="275"/>
      <c r="J80" s="275"/>
      <c r="K80" s="216">
        <f t="shared" si="77"/>
        <v>0</v>
      </c>
      <c r="L80" s="216">
        <f>IF(A80&gt;"",IF(ISERROR(VLOOKUP(A80,Magic!$B$2:$R$592,11,FALSE)),0,P80*VLOOKUP(A80,Magic!$B$2:$R$592,11,FALSE)+IF(B80="Un",(1+CEILING(Q80/100,1))*7,0)),0)</f>
        <v>0</v>
      </c>
      <c r="M80" s="216">
        <f>IF(AND(A80&gt;"",B80="Un"),IF(ISERROR(VLOOKUP(A80,Magic!$B$2:$R$592,17,FALSE)),0,VLOOKUP(A80,Magic!$B$2:$R$592,17,FALSE)),0)</f>
        <v>0</v>
      </c>
      <c r="O80" s="412">
        <v>20</v>
      </c>
      <c r="P80" s="412">
        <f t="shared" si="78"/>
        <v>0</v>
      </c>
      <c r="Q80" s="411" t="str">
        <f>IF(A80&gt;"",IF(ISERROR(VLOOKUP(A80,Magic!$B$2:$R$592,9,FALSE)),"Un",VLOOKUP(A80,Magic!$B$2:$R$592,9,FALSE)),"")</f>
        <v/>
      </c>
      <c r="R80" s="217" t="b">
        <f t="shared" si="79"/>
        <v>0</v>
      </c>
    </row>
    <row r="81" spans="1:18" x14ac:dyDescent="0.2">
      <c r="A81" s="276"/>
      <c r="B81" s="3" t="str">
        <f>IF(A81&gt;"",IF(ISERROR(VLOOKUP(A81,Magic!$B$2:$R$592,2,FALSE)),"Un",VLOOKUP(A81,Magic!$B$2:$R$592,2,FALSE)),"")</f>
        <v/>
      </c>
      <c r="C81" s="273"/>
      <c r="D81" s="273"/>
      <c r="E81" s="216" t="str">
        <f t="shared" si="74"/>
        <v/>
      </c>
      <c r="F81" s="216" t="str">
        <f t="shared" si="75"/>
        <v/>
      </c>
      <c r="G81" s="216" t="str">
        <f t="shared" si="76"/>
        <v/>
      </c>
      <c r="H81" s="274">
        <f>IF(A81&gt;"",IF(ISERROR(VLOOKUP(A81,Magic!$B$2:$R$592,16,FALSE)),0,K81/-100*VLOOKUP(A81,Magic!$B$2:$R$592,16,FALSE)),0)</f>
        <v>0</v>
      </c>
      <c r="I81" s="275"/>
      <c r="J81" s="275"/>
      <c r="K81" s="216">
        <f t="shared" si="77"/>
        <v>0</v>
      </c>
      <c r="L81" s="216">
        <f>IF(A81&gt;"",IF(ISERROR(VLOOKUP(A81,Magic!$B$2:$R$592,11,FALSE)),0,P81*VLOOKUP(A81,Magic!$B$2:$R$592,11,FALSE)+IF(B81="Un",(1+CEILING(Q81/100,1))*7,0)),0)</f>
        <v>0</v>
      </c>
      <c r="M81" s="216">
        <f>IF(AND(A81&gt;"",B81="Un"),IF(ISERROR(VLOOKUP(A81,Magic!$B$2:$R$592,17,FALSE)),0,VLOOKUP(A81,Magic!$B$2:$R$592,17,FALSE)),0)</f>
        <v>0</v>
      </c>
      <c r="O81" s="412">
        <v>20</v>
      </c>
      <c r="P81" s="412">
        <f t="shared" si="78"/>
        <v>0</v>
      </c>
      <c r="Q81" s="411" t="str">
        <f>IF(A81&gt;"",IF(ISERROR(VLOOKUP(A81,Magic!$B$2:$R$592,9,FALSE)),"Un",VLOOKUP(A81,Magic!$B$2:$R$592,9,FALSE)),"")</f>
        <v/>
      </c>
      <c r="R81" s="217" t="b">
        <f t="shared" si="79"/>
        <v>0</v>
      </c>
    </row>
    <row r="82" spans="1:18" x14ac:dyDescent="0.2">
      <c r="A82" s="276"/>
      <c r="B82" s="3" t="str">
        <f>IF(A82&gt;"",IF(ISERROR(VLOOKUP(A82,Magic!$B$2:$R$592,2,FALSE)),"Un",VLOOKUP(A82,Magic!$B$2:$R$592,2,FALSE)),"")</f>
        <v/>
      </c>
      <c r="C82" s="273"/>
      <c r="D82" s="273"/>
      <c r="E82" s="216" t="str">
        <f t="shared" si="74"/>
        <v/>
      </c>
      <c r="F82" s="216" t="str">
        <f t="shared" si="75"/>
        <v/>
      </c>
      <c r="G82" s="216" t="str">
        <f t="shared" si="76"/>
        <v/>
      </c>
      <c r="H82" s="274">
        <f>IF(A82&gt;"",IF(ISERROR(VLOOKUP(A82,Magic!$B$2:$R$592,16,FALSE)),0,K82/-100*VLOOKUP(A82,Magic!$B$2:$R$592,16,FALSE)),0)</f>
        <v>0</v>
      </c>
      <c r="I82" s="275"/>
      <c r="J82" s="275"/>
      <c r="K82" s="216">
        <f t="shared" si="77"/>
        <v>0</v>
      </c>
      <c r="L82" s="216">
        <f>IF(A82&gt;"",IF(ISERROR(VLOOKUP(A82,Magic!$B$2:$R$592,11,FALSE)),0,P82*VLOOKUP(A82,Magic!$B$2:$R$592,11,FALSE)+IF(B82="Un",(1+CEILING(Q82/100,1))*7,0)),0)</f>
        <v>0</v>
      </c>
      <c r="M82" s="216">
        <f>IF(AND(A82&gt;"",B82="Un"),IF(ISERROR(VLOOKUP(A82,Magic!$B$2:$R$592,17,FALSE)),0,VLOOKUP(A82,Magic!$B$2:$R$592,17,FALSE)),0)</f>
        <v>0</v>
      </c>
      <c r="O82" s="412">
        <v>20</v>
      </c>
      <c r="P82" s="412">
        <f t="shared" si="78"/>
        <v>0</v>
      </c>
      <c r="Q82" s="411" t="str">
        <f>IF(A82&gt;"",IF(ISERROR(VLOOKUP(A82,Magic!$B$2:$R$592,9,FALSE)),"Un",VLOOKUP(A82,Magic!$B$2:$R$592,9,FALSE)),"")</f>
        <v/>
      </c>
      <c r="R82" s="217" t="b">
        <f t="shared" si="79"/>
        <v>0</v>
      </c>
    </row>
    <row r="83" spans="1:18" x14ac:dyDescent="0.2">
      <c r="A83" s="276"/>
      <c r="B83" s="3" t="str">
        <f>IF(A83&gt;"",IF(ISERROR(VLOOKUP(A83,Magic!$B$2:$R$592,2,FALSE)),"Un",VLOOKUP(A83,Magic!$B$2:$R$592,2,FALSE)),"")</f>
        <v/>
      </c>
      <c r="C83" s="273"/>
      <c r="D83" s="273"/>
      <c r="E83" s="216" t="str">
        <f t="shared" si="74"/>
        <v/>
      </c>
      <c r="F83" s="216" t="str">
        <f t="shared" si="75"/>
        <v/>
      </c>
      <c r="G83" s="216" t="str">
        <f t="shared" si="76"/>
        <v/>
      </c>
      <c r="H83" s="274">
        <f>IF(A83&gt;"",IF(ISERROR(VLOOKUP(A83,Magic!$B$2:$R$592,16,FALSE)),0,K83/-100*VLOOKUP(A83,Magic!$B$2:$R$592,16,FALSE)),0)</f>
        <v>0</v>
      </c>
      <c r="I83" s="275"/>
      <c r="J83" s="275"/>
      <c r="K83" s="216">
        <f t="shared" si="77"/>
        <v>0</v>
      </c>
      <c r="L83" s="216">
        <f>IF(A83&gt;"",IF(ISERROR(VLOOKUP(A83,Magic!$B$2:$R$592,11,FALSE)),0,P83*VLOOKUP(A83,Magic!$B$2:$R$592,11,FALSE)+IF(B83="Un",(1+CEILING(Q83/100,1))*7,0)),0)</f>
        <v>0</v>
      </c>
      <c r="M83" s="216">
        <f>IF(AND(A83&gt;"",B83="Un"),IF(ISERROR(VLOOKUP(A83,Magic!$B$2:$R$592,17,FALSE)),0,VLOOKUP(A83,Magic!$B$2:$R$592,17,FALSE)),0)</f>
        <v>0</v>
      </c>
      <c r="O83" s="412">
        <v>20</v>
      </c>
      <c r="P83" s="412">
        <f t="shared" si="78"/>
        <v>0</v>
      </c>
      <c r="Q83" s="411" t="str">
        <f>IF(A83&gt;"",IF(ISERROR(VLOOKUP(A83,Magic!$B$2:$R$592,9,FALSE)),"Un",VLOOKUP(A83,Magic!$B$2:$R$592,9,FALSE)),"")</f>
        <v/>
      </c>
      <c r="R83" s="217" t="b">
        <f t="shared" si="79"/>
        <v>0</v>
      </c>
    </row>
    <row r="84" spans="1:18" x14ac:dyDescent="0.2">
      <c r="A84" s="276"/>
      <c r="B84" s="3" t="str">
        <f>IF(A84&gt;"",IF(ISERROR(VLOOKUP(A84,Magic!$B$2:$R$592,2,FALSE)),"Un",VLOOKUP(A84,Magic!$B$2:$R$592,2,FALSE)),"")</f>
        <v/>
      </c>
      <c r="C84" s="273"/>
      <c r="D84" s="273"/>
      <c r="E84" s="216" t="str">
        <f t="shared" si="74"/>
        <v/>
      </c>
      <c r="F84" s="216" t="str">
        <f t="shared" si="75"/>
        <v/>
      </c>
      <c r="G84" s="216" t="str">
        <f t="shared" si="76"/>
        <v/>
      </c>
      <c r="H84" s="274">
        <f>IF(A84&gt;"",IF(ISERROR(VLOOKUP(A84,Magic!$B$2:$R$592,16,FALSE)),0,K84/-100*VLOOKUP(A84,Magic!$B$2:$R$592,16,FALSE)),0)</f>
        <v>0</v>
      </c>
      <c r="I84" s="275"/>
      <c r="J84" s="275"/>
      <c r="K84" s="216">
        <f t="shared" si="77"/>
        <v>0</v>
      </c>
      <c r="L84" s="216">
        <f>IF(A84&gt;"",IF(ISERROR(VLOOKUP(A84,Magic!$B$2:$R$592,11,FALSE)),0,P84*VLOOKUP(A84,Magic!$B$2:$R$592,11,FALSE)+IF(B84="Un",(1+CEILING(Q84/100,1))*7,0)),0)</f>
        <v>0</v>
      </c>
      <c r="M84" s="216">
        <f>IF(AND(A84&gt;"",B84="Un"),IF(ISERROR(VLOOKUP(A84,Magic!$B$2:$R$592,17,FALSE)),0,VLOOKUP(A84,Magic!$B$2:$R$592,17,FALSE)),0)</f>
        <v>0</v>
      </c>
      <c r="O84" s="412">
        <v>20</v>
      </c>
      <c r="P84" s="412">
        <f t="shared" si="78"/>
        <v>0</v>
      </c>
      <c r="Q84" s="411" t="str">
        <f>IF(A84&gt;"",IF(ISERROR(VLOOKUP(A84,Magic!$B$2:$R$592,9,FALSE)),"Un",VLOOKUP(A84,Magic!$B$2:$R$592,9,FALSE)),"")</f>
        <v/>
      </c>
      <c r="R84" s="217" t="b">
        <f t="shared" si="79"/>
        <v>0</v>
      </c>
    </row>
    <row r="85" spans="1:18" x14ac:dyDescent="0.2">
      <c r="A85" s="276"/>
      <c r="B85" s="3" t="str">
        <f>IF(A85&gt;"",IF(ISERROR(VLOOKUP(A85,Magic!$B$2:$R$592,2,FALSE)),"Un",VLOOKUP(A85,Magic!$B$2:$R$592,2,FALSE)),"")</f>
        <v/>
      </c>
      <c r="C85" s="273"/>
      <c r="D85" s="273"/>
      <c r="E85" s="216" t="str">
        <f t="shared" si="74"/>
        <v/>
      </c>
      <c r="F85" s="216" t="str">
        <f t="shared" si="75"/>
        <v/>
      </c>
      <c r="G85" s="216" t="str">
        <f t="shared" si="76"/>
        <v/>
      </c>
      <c r="H85" s="274">
        <f>IF(A85&gt;"",IF(ISERROR(VLOOKUP(A85,Magic!$B$2:$R$592,16,FALSE)),0,K85/-100*VLOOKUP(A85,Magic!$B$2:$R$592,16,FALSE)),0)</f>
        <v>0</v>
      </c>
      <c r="I85" s="275"/>
      <c r="J85" s="275"/>
      <c r="K85" s="216">
        <f t="shared" si="77"/>
        <v>0</v>
      </c>
      <c r="L85" s="216">
        <f>IF(A85&gt;"",IF(ISERROR(VLOOKUP(A85,Magic!$B$2:$R$592,11,FALSE)),0,P85*VLOOKUP(A85,Magic!$B$2:$R$592,11,FALSE)+IF(B85="Un",(1+CEILING(Q85/100,1))*7,0)),0)</f>
        <v>0</v>
      </c>
      <c r="M85" s="216">
        <f>IF(AND(A85&gt;"",B85="Un"),IF(ISERROR(VLOOKUP(A85,Magic!$B$2:$R$592,17,FALSE)),0,VLOOKUP(A85,Magic!$B$2:$R$592,17,FALSE)),0)</f>
        <v>0</v>
      </c>
      <c r="O85" s="412">
        <v>20</v>
      </c>
      <c r="P85" s="412">
        <f t="shared" si="78"/>
        <v>0</v>
      </c>
      <c r="Q85" s="411" t="str">
        <f>IF(A85&gt;"",IF(ISERROR(VLOOKUP(A85,Magic!$B$2:$R$592,9,FALSE)),"Un",VLOOKUP(A85,Magic!$B$2:$R$592,9,FALSE)),"")</f>
        <v/>
      </c>
      <c r="R85" s="217" t="b">
        <f t="shared" si="79"/>
        <v>0</v>
      </c>
    </row>
    <row r="86" spans="1:18" x14ac:dyDescent="0.2">
      <c r="A86" s="276"/>
      <c r="B86" s="3" t="str">
        <f>IF(A86&gt;"",IF(ISERROR(VLOOKUP(A86,Magic!$B$2:$R$592,2,FALSE)),"Un",VLOOKUP(A86,Magic!$B$2:$R$592,2,FALSE)),"")</f>
        <v/>
      </c>
      <c r="C86" s="273"/>
      <c r="D86" s="273"/>
      <c r="E86" s="216" t="str">
        <f t="shared" si="74"/>
        <v/>
      </c>
      <c r="F86" s="216" t="str">
        <f t="shared" si="75"/>
        <v/>
      </c>
      <c r="G86" s="216" t="str">
        <f t="shared" si="76"/>
        <v/>
      </c>
      <c r="H86" s="274">
        <f>IF(A86&gt;"",IF(ISERROR(VLOOKUP(A86,Magic!$B$2:$R$592,16,FALSE)),0,K86/-100*VLOOKUP(A86,Magic!$B$2:$R$592,16,FALSE)),0)</f>
        <v>0</v>
      </c>
      <c r="I86" s="275"/>
      <c r="J86" s="275"/>
      <c r="K86" s="216">
        <f t="shared" si="77"/>
        <v>0</v>
      </c>
      <c r="L86" s="216">
        <f>IF(A86&gt;"",IF(ISERROR(VLOOKUP(A86,Magic!$B$2:$R$592,11,FALSE)),0,P86*VLOOKUP(A86,Magic!$B$2:$R$592,11,FALSE)+IF(B86="Un",(1+CEILING(Q86/100,1))*7,0)),0)</f>
        <v>0</v>
      </c>
      <c r="M86" s="216">
        <f>IF(AND(A86&gt;"",B86="Un"),IF(ISERROR(VLOOKUP(A86,Magic!$B$2:$R$592,17,FALSE)),0,VLOOKUP(A86,Magic!$B$2:$R$592,17,FALSE)),0)</f>
        <v>0</v>
      </c>
      <c r="O86" s="412">
        <v>20</v>
      </c>
      <c r="P86" s="412">
        <f t="shared" si="78"/>
        <v>0</v>
      </c>
      <c r="Q86" s="411" t="str">
        <f>IF(A86&gt;"",IF(ISERROR(VLOOKUP(A86,Magic!$B$2:$R$592,9,FALSE)),"Un",VLOOKUP(A86,Magic!$B$2:$R$592,9,FALSE)),"")</f>
        <v/>
      </c>
      <c r="R86" s="217" t="b">
        <f t="shared" si="79"/>
        <v>0</v>
      </c>
    </row>
    <row r="87" spans="1:18" x14ac:dyDescent="0.2">
      <c r="A87" s="276"/>
      <c r="B87" s="3" t="str">
        <f>IF(A87&gt;"",IF(ISERROR(VLOOKUP(A87,Magic!$B$2:$R$592,2,FALSE)),"Un",VLOOKUP(A87,Magic!$B$2:$R$592,2,FALSE)),"")</f>
        <v/>
      </c>
      <c r="C87" s="273"/>
      <c r="D87" s="273"/>
      <c r="E87" s="216" t="str">
        <f t="shared" si="74"/>
        <v/>
      </c>
      <c r="F87" s="216" t="str">
        <f t="shared" si="75"/>
        <v/>
      </c>
      <c r="G87" s="216" t="str">
        <f t="shared" si="76"/>
        <v/>
      </c>
      <c r="H87" s="274">
        <f>IF(A87&gt;"",IF(ISERROR(VLOOKUP(A87,Magic!$B$2:$R$592,16,FALSE)),0,K87/-100*VLOOKUP(A87,Magic!$B$2:$R$592,16,FALSE)),0)</f>
        <v>0</v>
      </c>
      <c r="I87" s="275"/>
      <c r="J87" s="275"/>
      <c r="K87" s="216">
        <f t="shared" si="77"/>
        <v>0</v>
      </c>
      <c r="L87" s="216">
        <f>IF(A87&gt;"",IF(ISERROR(VLOOKUP(A87,Magic!$B$2:$R$592,11,FALSE)),0,P87*VLOOKUP(A87,Magic!$B$2:$R$592,11,FALSE)+IF(B87="Un",(1+CEILING(Q87/100,1))*7,0)),0)</f>
        <v>0</v>
      </c>
      <c r="M87" s="216">
        <f>IF(AND(A87&gt;"",B87="Un"),IF(ISERROR(VLOOKUP(A87,Magic!$B$2:$R$592,17,FALSE)),0,VLOOKUP(A87,Magic!$B$2:$R$592,17,FALSE)),0)</f>
        <v>0</v>
      </c>
      <c r="O87" s="412">
        <v>20</v>
      </c>
      <c r="P87" s="412">
        <f t="shared" si="78"/>
        <v>0</v>
      </c>
      <c r="Q87" s="411" t="str">
        <f>IF(A87&gt;"",IF(ISERROR(VLOOKUP(A87,Magic!$B$2:$R$592,9,FALSE)),"Un",VLOOKUP(A87,Magic!$B$2:$R$592,9,FALSE)),"")</f>
        <v/>
      </c>
      <c r="R87" s="217" t="b">
        <f t="shared" si="79"/>
        <v>0</v>
      </c>
    </row>
    <row r="88" spans="1:18" x14ac:dyDescent="0.2">
      <c r="A88" s="276"/>
      <c r="B88" s="3" t="str">
        <f>IF(A88&gt;"",IF(ISERROR(VLOOKUP(A88,Magic!$B$2:$R$592,2,FALSE)),"Un",VLOOKUP(A88,Magic!$B$2:$R$592,2,FALSE)),"")</f>
        <v/>
      </c>
      <c r="C88" s="273"/>
      <c r="D88" s="273"/>
      <c r="E88" s="216" t="str">
        <f t="shared" si="74"/>
        <v/>
      </c>
      <c r="F88" s="216" t="str">
        <f t="shared" si="75"/>
        <v/>
      </c>
      <c r="G88" s="216" t="str">
        <f t="shared" si="76"/>
        <v/>
      </c>
      <c r="H88" s="274">
        <f>IF(A88&gt;"",IF(ISERROR(VLOOKUP(A88,Magic!$B$2:$R$592,16,FALSE)),0,K88/-100*VLOOKUP(A88,Magic!$B$2:$R$592,16,FALSE)),0)</f>
        <v>0</v>
      </c>
      <c r="I88" s="275"/>
      <c r="J88" s="275"/>
      <c r="K88" s="216">
        <f t="shared" si="77"/>
        <v>0</v>
      </c>
      <c r="L88" s="216">
        <f>IF(A88&gt;"",IF(ISERROR(VLOOKUP(A88,Magic!$B$2:$R$592,11,FALSE)),0,P88*VLOOKUP(A88,Magic!$B$2:$R$592,11,FALSE)+IF(B88="Un",(1+CEILING(Q88/100,1))*7,0)),0)</f>
        <v>0</v>
      </c>
      <c r="M88" s="216">
        <f>IF(AND(A88&gt;"",B88="Un"),IF(ISERROR(VLOOKUP(A88,Magic!$B$2:$R$592,17,FALSE)),0,VLOOKUP(A88,Magic!$B$2:$R$592,17,FALSE)),0)</f>
        <v>0</v>
      </c>
      <c r="O88" s="412">
        <v>20</v>
      </c>
      <c r="P88" s="412">
        <f t="shared" si="78"/>
        <v>0</v>
      </c>
      <c r="Q88" s="411" t="str">
        <f>IF(A88&gt;"",IF(ISERROR(VLOOKUP(A88,Magic!$B$2:$R$592,9,FALSE)),"Un",VLOOKUP(A88,Magic!$B$2:$R$592,9,FALSE)),"")</f>
        <v/>
      </c>
      <c r="R88" s="217" t="b">
        <f t="shared" si="79"/>
        <v>0</v>
      </c>
    </row>
    <row r="89" spans="1:18" x14ac:dyDescent="0.2">
      <c r="A89" s="279"/>
      <c r="E89" s="237">
        <f>SUM(E64:E88)</f>
        <v>0</v>
      </c>
      <c r="F89" s="237" t="str">
        <f>"am "&amp;SUMIF(D64:D88,"a",F64:F88)&amp;" pm "&amp;SUMIF(D64:D88,"p",F64:F88)</f>
        <v>am 0 pm 0</v>
      </c>
      <c r="G89" s="237">
        <f>SUM(G64:G88)</f>
        <v>0</v>
      </c>
      <c r="O89" s="412"/>
      <c r="P89" s="412"/>
      <c r="Q89" s="412"/>
      <c r="R89" s="217"/>
    </row>
    <row r="90" spans="1:18" x14ac:dyDescent="0.2">
      <c r="A90" s="279"/>
      <c r="E90" s="382"/>
      <c r="F90" s="382"/>
      <c r="G90" s="382"/>
      <c r="O90" s="412"/>
      <c r="P90" s="412"/>
      <c r="Q90" s="412"/>
      <c r="R90" s="217"/>
    </row>
    <row r="91" spans="1:18" x14ac:dyDescent="0.2">
      <c r="A91" s="230" t="s">
        <v>358</v>
      </c>
      <c r="B91" s="231" t="s">
        <v>346</v>
      </c>
      <c r="C91" s="231" t="s">
        <v>347</v>
      </c>
      <c r="D91" s="230" t="s">
        <v>362</v>
      </c>
      <c r="E91" s="232" t="s">
        <v>330</v>
      </c>
      <c r="F91" s="232" t="s">
        <v>331</v>
      </c>
      <c r="G91" s="232" t="s">
        <v>332</v>
      </c>
      <c r="H91" s="231" t="s">
        <v>348</v>
      </c>
      <c r="I91" s="231" t="s">
        <v>352</v>
      </c>
      <c r="J91" s="231" t="s">
        <v>353</v>
      </c>
      <c r="K91" s="232" t="s">
        <v>349</v>
      </c>
      <c r="L91" s="234" t="s">
        <v>354</v>
      </c>
      <c r="M91" s="234" t="s">
        <v>355</v>
      </c>
      <c r="O91" s="411" t="s">
        <v>350</v>
      </c>
      <c r="P91" s="411" t="s">
        <v>351</v>
      </c>
      <c r="Q91" s="411" t="s">
        <v>233</v>
      </c>
      <c r="R91" s="217"/>
    </row>
    <row r="92" spans="1:18" x14ac:dyDescent="0.2">
      <c r="A92" s="276"/>
      <c r="C92" s="273"/>
      <c r="D92" s="273"/>
      <c r="E92" s="216" t="str">
        <f t="shared" ref="E92:G96" si="80">IF($R92,K92+H92,"")</f>
        <v/>
      </c>
      <c r="F92" s="216" t="str">
        <f t="shared" si="80"/>
        <v/>
      </c>
      <c r="G92" s="216" t="str">
        <f t="shared" si="80"/>
        <v/>
      </c>
      <c r="H92" s="275"/>
      <c r="I92" s="275"/>
      <c r="J92" s="275"/>
      <c r="K92" s="275"/>
      <c r="L92" s="275"/>
      <c r="M92" s="275"/>
      <c r="O92" s="412"/>
      <c r="P92" s="412">
        <f>IF(R92,(C92*(C92+1)/2)-B92*(B92+1)/2,0)</f>
        <v>0</v>
      </c>
      <c r="Q92" s="411"/>
      <c r="R92" s="217" t="b">
        <f>AND(A92&gt;"",C92&lt;&gt;"")</f>
        <v>0</v>
      </c>
    </row>
    <row r="93" spans="1:18" x14ac:dyDescent="0.2">
      <c r="A93" s="276"/>
      <c r="C93" s="273"/>
      <c r="D93" s="273"/>
      <c r="E93" s="216" t="str">
        <f t="shared" si="80"/>
        <v/>
      </c>
      <c r="F93" s="216" t="str">
        <f t="shared" si="80"/>
        <v/>
      </c>
      <c r="G93" s="277" t="str">
        <f t="shared" si="80"/>
        <v/>
      </c>
      <c r="H93" s="275"/>
      <c r="I93" s="275"/>
      <c r="J93" s="275"/>
      <c r="K93" s="275"/>
      <c r="L93" s="275"/>
      <c r="M93" s="275"/>
      <c r="O93" s="412"/>
      <c r="P93" s="412">
        <f>IF(R93,(C93*(C93+1)/2)-B93*(B93+1)/2,0)</f>
        <v>0</v>
      </c>
      <c r="Q93" s="411"/>
      <c r="R93" s="217" t="b">
        <f>AND(A93&gt;"",C93&lt;&gt;"")</f>
        <v>0</v>
      </c>
    </row>
    <row r="94" spans="1:18" x14ac:dyDescent="0.2">
      <c r="A94" s="276"/>
      <c r="C94" s="273"/>
      <c r="D94" s="273"/>
      <c r="E94" s="216" t="str">
        <f t="shared" si="80"/>
        <v/>
      </c>
      <c r="F94" s="216" t="str">
        <f t="shared" si="80"/>
        <v/>
      </c>
      <c r="G94" s="216" t="str">
        <f t="shared" si="80"/>
        <v/>
      </c>
      <c r="H94" s="275"/>
      <c r="I94" s="275"/>
      <c r="J94" s="275"/>
      <c r="K94" s="275"/>
      <c r="L94" s="275"/>
      <c r="M94" s="275"/>
      <c r="O94" s="412"/>
      <c r="P94" s="412">
        <f>IF(R94,(C94*(C94+1)/2)-B94*(B94+1)/2,0)</f>
        <v>0</v>
      </c>
      <c r="Q94" s="411"/>
      <c r="R94" s="217" t="b">
        <f>AND(A94&gt;"",C94&lt;&gt;"")</f>
        <v>0</v>
      </c>
    </row>
    <row r="95" spans="1:18" x14ac:dyDescent="0.2">
      <c r="A95" s="276"/>
      <c r="C95" s="273"/>
      <c r="D95" s="273"/>
      <c r="E95" s="216" t="str">
        <f t="shared" si="80"/>
        <v/>
      </c>
      <c r="F95" s="216" t="str">
        <f t="shared" si="80"/>
        <v/>
      </c>
      <c r="G95" s="216" t="str">
        <f t="shared" si="80"/>
        <v/>
      </c>
      <c r="H95" s="275"/>
      <c r="I95" s="275"/>
      <c r="J95" s="275"/>
      <c r="K95" s="275"/>
      <c r="L95" s="275"/>
      <c r="M95" s="275"/>
      <c r="O95" s="412"/>
      <c r="P95" s="412">
        <f>IF(R95,(C95*(C95+1)/2)-B95*(B95+1)/2,0)</f>
        <v>0</v>
      </c>
      <c r="Q95" s="411"/>
      <c r="R95" s="217" t="b">
        <f>AND(A95&gt;"",C95&lt;&gt;"")</f>
        <v>0</v>
      </c>
    </row>
    <row r="96" spans="1:18" x14ac:dyDescent="0.2">
      <c r="A96" s="276"/>
      <c r="C96" s="273"/>
      <c r="D96" s="273"/>
      <c r="E96" s="216" t="str">
        <f t="shared" si="80"/>
        <v/>
      </c>
      <c r="F96" s="216" t="str">
        <f t="shared" si="80"/>
        <v/>
      </c>
      <c r="G96" s="216" t="str">
        <f t="shared" si="80"/>
        <v/>
      </c>
      <c r="H96" s="275"/>
      <c r="I96" s="275"/>
      <c r="J96" s="275"/>
      <c r="K96" s="275"/>
      <c r="L96" s="275"/>
      <c r="M96" s="275"/>
      <c r="O96" s="412"/>
      <c r="P96" s="412">
        <f>IF(R96,(C96*(C96+1)/2)-B96*(B96+1)/2,0)</f>
        <v>0</v>
      </c>
      <c r="Q96" s="411"/>
      <c r="R96" s="217" t="b">
        <f>AND(A96&gt;"",C96&lt;&gt;"")</f>
        <v>0</v>
      </c>
    </row>
    <row r="97" spans="1:18" x14ac:dyDescent="0.2">
      <c r="A97" s="279"/>
      <c r="E97" s="237">
        <f>SUM(E92:E96)</f>
        <v>0</v>
      </c>
      <c r="F97" s="237" t="str">
        <f>"am "&amp;SUMIF(D92:D96,"a",F92:F96)&amp;" pm "&amp;SUMIF(D92:D96,"p",F92:F96)</f>
        <v>am 0 pm 0</v>
      </c>
      <c r="G97" s="237">
        <f>SUM(G92:G96)</f>
        <v>0</v>
      </c>
      <c r="H97" s="280"/>
      <c r="I97" s="280"/>
      <c r="J97" s="280"/>
      <c r="K97" s="281"/>
      <c r="L97" s="279"/>
      <c r="M97" s="279"/>
      <c r="O97" s="412"/>
      <c r="P97" s="412"/>
      <c r="Q97" s="412"/>
      <c r="R97" s="217"/>
    </row>
    <row r="98" spans="1:18" x14ac:dyDescent="0.2">
      <c r="A98" s="279"/>
      <c r="E98" s="382"/>
      <c r="F98" s="382"/>
      <c r="G98" s="382"/>
      <c r="H98" s="280"/>
      <c r="I98" s="280"/>
      <c r="J98" s="280"/>
      <c r="K98" s="281"/>
      <c r="L98" s="279"/>
      <c r="M98" s="279"/>
      <c r="O98" s="412"/>
      <c r="P98" s="412"/>
      <c r="Q98" s="412"/>
      <c r="R98" s="217"/>
    </row>
    <row r="99" spans="1:18" x14ac:dyDescent="0.2">
      <c r="A99" s="230" t="s">
        <v>359</v>
      </c>
      <c r="B99" s="231" t="s">
        <v>346</v>
      </c>
      <c r="C99" s="231" t="s">
        <v>347</v>
      </c>
      <c r="D99" s="230" t="s">
        <v>362</v>
      </c>
      <c r="E99" s="232" t="s">
        <v>330</v>
      </c>
      <c r="F99" s="232" t="s">
        <v>331</v>
      </c>
      <c r="G99" s="232" t="s">
        <v>332</v>
      </c>
      <c r="H99" s="231" t="s">
        <v>348</v>
      </c>
      <c r="I99" s="231" t="s">
        <v>352</v>
      </c>
      <c r="J99" s="231" t="s">
        <v>353</v>
      </c>
      <c r="K99" s="232" t="s">
        <v>349</v>
      </c>
      <c r="L99" s="234" t="s">
        <v>354</v>
      </c>
      <c r="M99" s="234" t="s">
        <v>355</v>
      </c>
      <c r="O99" s="411" t="s">
        <v>350</v>
      </c>
      <c r="P99" s="411" t="s">
        <v>351</v>
      </c>
      <c r="Q99" s="411" t="s">
        <v>233</v>
      </c>
      <c r="R99" s="217"/>
    </row>
    <row r="100" spans="1:18" x14ac:dyDescent="0.2">
      <c r="A100" s="278" t="s">
        <v>360</v>
      </c>
      <c r="C100" s="273"/>
      <c r="D100" s="273"/>
      <c r="E100" s="216" t="str">
        <f t="shared" ref="E100:G104" si="81">IF($R100,K100+H100,"")</f>
        <v/>
      </c>
      <c r="F100" s="216" t="str">
        <f t="shared" si="81"/>
        <v/>
      </c>
      <c r="G100" s="216" t="str">
        <f t="shared" si="81"/>
        <v/>
      </c>
      <c r="H100" s="275"/>
      <c r="I100" s="275"/>
      <c r="J100" s="275"/>
      <c r="K100" s="275">
        <f>P100*Q100</f>
        <v>0</v>
      </c>
      <c r="L100" s="275"/>
      <c r="M100" s="275"/>
      <c r="O100" s="412"/>
      <c r="P100" s="412">
        <f>IF(R100,C100,0)</f>
        <v>0</v>
      </c>
      <c r="Q100" s="411">
        <v>2500</v>
      </c>
      <c r="R100" s="217" t="b">
        <f>AND(A100&gt;"",C100&lt;&gt;"")</f>
        <v>0</v>
      </c>
    </row>
    <row r="101" spans="1:18" x14ac:dyDescent="0.2">
      <c r="A101" s="583" t="str">
        <f>Skills!A59</f>
        <v>Extra Warrior Abilities</v>
      </c>
      <c r="B101" s="3">
        <f>Skills!B59</f>
        <v>0</v>
      </c>
      <c r="C101" s="273"/>
      <c r="D101" s="273"/>
      <c r="E101" s="216" t="str">
        <f t="shared" si="81"/>
        <v/>
      </c>
      <c r="F101" s="216" t="str">
        <f t="shared" si="81"/>
        <v/>
      </c>
      <c r="G101" s="216" t="str">
        <f t="shared" si="81"/>
        <v/>
      </c>
      <c r="H101" s="584">
        <f>IF(Combat!$L$1="Un",0,IF(Combat!$L$1&gt;9,-0.5,IF(Combat!$L$1&gt;7,-0.25,0)))*Ranking!K101</f>
        <v>0</v>
      </c>
      <c r="I101" s="584">
        <f>IF(Combat!$L$1="Un",0,IF(Combat!$L$1&gt;9,-0.5,IF(Combat!$L$1&gt;7,-0.25,0)))*Ranking!L101</f>
        <v>0</v>
      </c>
      <c r="J101" s="584"/>
      <c r="K101" s="584">
        <f>P101*Q101</f>
        <v>0</v>
      </c>
      <c r="L101" s="584">
        <f>P101*56</f>
        <v>0</v>
      </c>
      <c r="M101" s="584"/>
      <c r="O101" s="412"/>
      <c r="P101" s="412">
        <f>MAX(0,C101-B101)</f>
        <v>0</v>
      </c>
      <c r="Q101" s="411">
        <v>10000</v>
      </c>
      <c r="R101" s="217" t="b">
        <f>AND(A101&gt;"",C101&lt;&gt;"")</f>
        <v>0</v>
      </c>
    </row>
    <row r="102" spans="1:18" x14ac:dyDescent="0.2">
      <c r="A102" s="276"/>
      <c r="C102" s="273"/>
      <c r="D102" s="273"/>
      <c r="E102" s="216" t="str">
        <f t="shared" si="81"/>
        <v/>
      </c>
      <c r="F102" s="216" t="str">
        <f t="shared" si="81"/>
        <v/>
      </c>
      <c r="G102" s="216" t="str">
        <f t="shared" si="81"/>
        <v/>
      </c>
      <c r="H102" s="275"/>
      <c r="I102" s="275"/>
      <c r="J102" s="275"/>
      <c r="K102" s="275"/>
      <c r="L102" s="275"/>
      <c r="M102" s="275"/>
      <c r="O102" s="412"/>
      <c r="P102" s="412">
        <f>IF(R102,(C102*(C102+1)/2)-B102*(B102+1)/2,0)</f>
        <v>0</v>
      </c>
      <c r="Q102" s="411"/>
      <c r="R102" s="217" t="b">
        <f>AND(A102&gt;"",C102&lt;&gt;"")</f>
        <v>0</v>
      </c>
    </row>
    <row r="103" spans="1:18" x14ac:dyDescent="0.2">
      <c r="A103" s="276"/>
      <c r="C103" s="273"/>
      <c r="D103" s="273"/>
      <c r="E103" s="216" t="str">
        <f t="shared" si="81"/>
        <v/>
      </c>
      <c r="F103" s="216" t="str">
        <f t="shared" si="81"/>
        <v/>
      </c>
      <c r="G103" s="216" t="str">
        <f t="shared" si="81"/>
        <v/>
      </c>
      <c r="H103" s="275"/>
      <c r="I103" s="275"/>
      <c r="J103" s="275"/>
      <c r="K103" s="275"/>
      <c r="L103" s="275"/>
      <c r="M103" s="275"/>
      <c r="O103" s="412"/>
      <c r="P103" s="412">
        <f>IF(R103,(C103*(C103+1)/2)-B103*(B103+1)/2,0)</f>
        <v>0</v>
      </c>
      <c r="Q103" s="411"/>
      <c r="R103" s="217" t="b">
        <f>AND(A103&gt;"",C103&lt;&gt;"")</f>
        <v>0</v>
      </c>
    </row>
    <row r="104" spans="1:18" x14ac:dyDescent="0.2">
      <c r="A104" s="276"/>
      <c r="C104" s="273"/>
      <c r="D104" s="273"/>
      <c r="E104" s="216" t="str">
        <f t="shared" si="81"/>
        <v/>
      </c>
      <c r="F104" s="216" t="str">
        <f t="shared" si="81"/>
        <v/>
      </c>
      <c r="G104" s="216" t="str">
        <f t="shared" si="81"/>
        <v/>
      </c>
      <c r="H104" s="275"/>
      <c r="I104" s="275"/>
      <c r="J104" s="275"/>
      <c r="K104" s="275"/>
      <c r="L104" s="275"/>
      <c r="M104" s="275"/>
      <c r="O104" s="412"/>
      <c r="P104" s="412">
        <f>IF(R104,(C104*(C104+1)/2)-B104*(B104+1)/2,0)</f>
        <v>0</v>
      </c>
      <c r="Q104" s="411"/>
      <c r="R104" s="217" t="b">
        <f>AND(A104&gt;"",C104&lt;&gt;"")</f>
        <v>0</v>
      </c>
    </row>
    <row r="105" spans="1:18" x14ac:dyDescent="0.2">
      <c r="A105" s="279"/>
      <c r="E105" s="237">
        <f>SUM(E100:E104)</f>
        <v>0</v>
      </c>
      <c r="F105" s="237" t="str">
        <f>"am "&amp;SUMIF(D100:D104,"a",F100:F104)&amp;" pm "&amp;SUMIF(D100:D104,"p",F100:F104)</f>
        <v>am 0 pm 0</v>
      </c>
      <c r="G105" s="237">
        <f>SUM(G100:G104)</f>
        <v>0</v>
      </c>
      <c r="O105" s="412"/>
      <c r="P105" s="412"/>
      <c r="Q105" s="412"/>
      <c r="R105" s="217"/>
    </row>
    <row r="106" spans="1:18" x14ac:dyDescent="0.2">
      <c r="A106" s="279"/>
      <c r="E106" s="382"/>
      <c r="F106" s="382"/>
      <c r="G106" s="382"/>
      <c r="O106" s="412"/>
      <c r="P106" s="412"/>
      <c r="Q106" s="412"/>
      <c r="R106" s="217"/>
    </row>
    <row r="107" spans="1:18" x14ac:dyDescent="0.2">
      <c r="A107" s="230" t="s">
        <v>361</v>
      </c>
      <c r="B107" s="231" t="s">
        <v>346</v>
      </c>
      <c r="C107" s="231" t="s">
        <v>347</v>
      </c>
      <c r="D107" s="230" t="s">
        <v>362</v>
      </c>
      <c r="E107" s="232"/>
      <c r="F107" s="232" t="s">
        <v>331</v>
      </c>
      <c r="G107" s="232"/>
      <c r="H107" s="231"/>
      <c r="I107" s="231" t="s">
        <v>352</v>
      </c>
      <c r="J107" s="231"/>
      <c r="K107" s="232"/>
      <c r="L107" s="234" t="s">
        <v>354</v>
      </c>
      <c r="M107" s="234"/>
      <c r="O107" s="411" t="s">
        <v>350</v>
      </c>
      <c r="P107" s="411" t="s">
        <v>351</v>
      </c>
      <c r="Q107" s="411" t="s">
        <v>233</v>
      </c>
      <c r="R107" s="217"/>
    </row>
    <row r="108" spans="1:18" x14ac:dyDescent="0.2">
      <c r="A108" s="276"/>
      <c r="B108" s="3" t="str">
        <f>IF(A108&gt;"",IF(ISERROR(VLOOKUP(A108,Names!$A$2:$C$223,3,FALSE)),"Un",VLOOKUP(A108,Names!$A$2:$C$223,3,FALSE)),"")</f>
        <v/>
      </c>
      <c r="C108" s="273"/>
      <c r="D108" s="273"/>
      <c r="F108" s="216" t="str">
        <f t="shared" ref="F108:F117" si="82">IF($R108,L108+I108,"")</f>
        <v/>
      </c>
      <c r="I108" s="275"/>
      <c r="L108" s="216">
        <f>(P108*7)+IF(B108="Un",IF(VLOOKUP(A108,Names!$A$2:$C$223,2,FALSE)="I",7,1),0)</f>
        <v>0</v>
      </c>
      <c r="M108" s="216"/>
      <c r="O108" s="412">
        <v>20</v>
      </c>
      <c r="P108" s="412">
        <f t="shared" ref="P108:P117" si="83">IF(R108,(C108*(C108+1)/2)-IF(B108="Un",0,B108*(B108+1)/2),0)</f>
        <v>0</v>
      </c>
      <c r="Q108" s="412"/>
      <c r="R108" s="217" t="b">
        <f t="shared" ref="R108:R117" si="84">AND(A108&gt;"",C108&lt;&gt;"")</f>
        <v>0</v>
      </c>
    </row>
    <row r="109" spans="1:18" x14ac:dyDescent="0.2">
      <c r="A109" s="276"/>
      <c r="B109" s="3" t="str">
        <f>IF(A109&gt;"",IF(ISERROR(VLOOKUP(A109,Names!$A$2:$C$223,3,FALSE)),"Un",VLOOKUP(A109,Names!$A$2:$C$223,3,FALSE)),"")</f>
        <v/>
      </c>
      <c r="C109" s="273"/>
      <c r="D109" s="273"/>
      <c r="F109" s="216" t="str">
        <f t="shared" si="82"/>
        <v/>
      </c>
      <c r="I109" s="275"/>
      <c r="L109" s="216">
        <f>(P109*7)+IF(B109="Un",IF(VLOOKUP(A109,Names!$A$2:$C$223,2,FALSE)="I",7,1),0)</f>
        <v>0</v>
      </c>
      <c r="M109" s="216"/>
      <c r="O109" s="412">
        <v>20</v>
      </c>
      <c r="P109" s="412">
        <f t="shared" si="83"/>
        <v>0</v>
      </c>
      <c r="Q109" s="412"/>
      <c r="R109" s="217" t="b">
        <f t="shared" si="84"/>
        <v>0</v>
      </c>
    </row>
    <row r="110" spans="1:18" x14ac:dyDescent="0.2">
      <c r="A110" s="276"/>
      <c r="B110" s="3" t="str">
        <f>IF(A110&gt;"",IF(ISERROR(VLOOKUP(A110,Names!$A$2:$C$223,3,FALSE)),"Un",VLOOKUP(A110,Names!$A$2:$C$223,3,FALSE)),"")</f>
        <v/>
      </c>
      <c r="C110" s="273"/>
      <c r="D110" s="273"/>
      <c r="F110" s="216" t="str">
        <f t="shared" si="82"/>
        <v/>
      </c>
      <c r="I110" s="275"/>
      <c r="L110" s="216">
        <f>(P110*7)+IF(B110="Un",IF(VLOOKUP(A110,Names!$A$2:$C$223,2,FALSE)="I",7,1),0)</f>
        <v>0</v>
      </c>
      <c r="M110" s="216"/>
      <c r="O110" s="412">
        <v>20</v>
      </c>
      <c r="P110" s="412">
        <f t="shared" si="83"/>
        <v>0</v>
      </c>
      <c r="Q110" s="412"/>
      <c r="R110" s="217" t="b">
        <f t="shared" si="84"/>
        <v>0</v>
      </c>
    </row>
    <row r="111" spans="1:18" x14ac:dyDescent="0.2">
      <c r="A111" s="276"/>
      <c r="B111" s="3" t="str">
        <f>IF(A111&gt;"",IF(ISERROR(VLOOKUP(A111,Names!$A$2:$C$223,3,FALSE)),"Un",VLOOKUP(A111,Names!$A$2:$C$223,3,FALSE)),"")</f>
        <v/>
      </c>
      <c r="C111" s="273"/>
      <c r="D111" s="273"/>
      <c r="F111" s="216" t="str">
        <f t="shared" si="82"/>
        <v/>
      </c>
      <c r="I111" s="275"/>
      <c r="L111" s="216">
        <f>(P111*7)+IF(B111="Un",IF(VLOOKUP(A111,Names!$A$2:$C$223,2,FALSE)="I",7,1),0)</f>
        <v>0</v>
      </c>
      <c r="M111" s="216"/>
      <c r="O111" s="412">
        <v>20</v>
      </c>
      <c r="P111" s="412">
        <f t="shared" si="83"/>
        <v>0</v>
      </c>
      <c r="Q111" s="412"/>
      <c r="R111" s="217" t="b">
        <f t="shared" si="84"/>
        <v>0</v>
      </c>
    </row>
    <row r="112" spans="1:18" x14ac:dyDescent="0.2">
      <c r="A112" s="276"/>
      <c r="B112" s="3" t="str">
        <f>IF(A112&gt;"",IF(ISERROR(VLOOKUP(A112,Names!$A$2:$C$223,3,FALSE)),"Un",VLOOKUP(A112,Names!$A$2:$C$223,3,FALSE)),"")</f>
        <v/>
      </c>
      <c r="C112" s="273"/>
      <c r="D112" s="273"/>
      <c r="F112" s="216" t="str">
        <f t="shared" si="82"/>
        <v/>
      </c>
      <c r="I112" s="275"/>
      <c r="L112" s="216">
        <f>(P112*7)+IF(B112="Un",IF(VLOOKUP(A112,Names!$A$2:$C$223,2,FALSE)="I",7,1),0)</f>
        <v>0</v>
      </c>
      <c r="M112" s="216"/>
      <c r="O112" s="412">
        <v>20</v>
      </c>
      <c r="P112" s="412">
        <f t="shared" si="83"/>
        <v>0</v>
      </c>
      <c r="Q112" s="412"/>
      <c r="R112" s="217" t="b">
        <f t="shared" si="84"/>
        <v>0</v>
      </c>
    </row>
    <row r="113" spans="1:18" x14ac:dyDescent="0.2">
      <c r="A113" s="276"/>
      <c r="B113" s="3" t="str">
        <f>IF(A113&gt;"",IF(ISERROR(VLOOKUP(A113,Names!$A$2:$C$223,3,FALSE)),"Un",VLOOKUP(A113,Names!$A$2:$C$223,3,FALSE)),"")</f>
        <v/>
      </c>
      <c r="C113" s="273"/>
      <c r="D113" s="273"/>
      <c r="F113" s="216" t="str">
        <f t="shared" si="82"/>
        <v/>
      </c>
      <c r="I113" s="275"/>
      <c r="L113" s="216">
        <f>(P113*7)+IF(B113="Un",IF(VLOOKUP(A113,Names!$A$2:$C$223,2,FALSE)="I",7,1),0)</f>
        <v>0</v>
      </c>
      <c r="M113" s="216"/>
      <c r="O113" s="412">
        <v>20</v>
      </c>
      <c r="P113" s="412">
        <f t="shared" si="83"/>
        <v>0</v>
      </c>
      <c r="Q113" s="412"/>
      <c r="R113" s="217" t="b">
        <f t="shared" si="84"/>
        <v>0</v>
      </c>
    </row>
    <row r="114" spans="1:18" x14ac:dyDescent="0.2">
      <c r="A114" s="276"/>
      <c r="B114" s="3" t="str">
        <f>IF(A114&gt;"",IF(ISERROR(VLOOKUP(A114,Names!$A$2:$C$223,3,FALSE)),"Un",VLOOKUP(A114,Names!$A$2:$C$223,3,FALSE)),"")</f>
        <v/>
      </c>
      <c r="C114" s="273"/>
      <c r="D114" s="273"/>
      <c r="F114" s="216" t="str">
        <f t="shared" si="82"/>
        <v/>
      </c>
      <c r="I114" s="275"/>
      <c r="L114" s="216">
        <f>(P114*7)+IF(B114="Un",IF(VLOOKUP(A114,Names!$A$2:$C$223,2,FALSE)="I",7,1),0)</f>
        <v>0</v>
      </c>
      <c r="M114" s="216"/>
      <c r="O114" s="412">
        <v>20</v>
      </c>
      <c r="P114" s="412">
        <f t="shared" si="83"/>
        <v>0</v>
      </c>
      <c r="Q114" s="412"/>
      <c r="R114" s="217" t="b">
        <f t="shared" si="84"/>
        <v>0</v>
      </c>
    </row>
    <row r="115" spans="1:18" x14ac:dyDescent="0.2">
      <c r="A115" s="276"/>
      <c r="B115" s="3" t="str">
        <f>IF(A115&gt;"",IF(ISERROR(VLOOKUP(A115,Names!$A$2:$C$223,3,FALSE)),"Un",VLOOKUP(A115,Names!$A$2:$C$223,3,FALSE)),"")</f>
        <v/>
      </c>
      <c r="C115" s="273"/>
      <c r="D115" s="273"/>
      <c r="F115" s="216" t="str">
        <f t="shared" si="82"/>
        <v/>
      </c>
      <c r="I115" s="275"/>
      <c r="L115" s="216">
        <f>(P115*7)+IF(B115="Un",IF(VLOOKUP(A115,Names!$A$2:$C$223,2,FALSE)="I",7,1),0)</f>
        <v>0</v>
      </c>
      <c r="M115" s="216"/>
      <c r="O115" s="412">
        <v>20</v>
      </c>
      <c r="P115" s="412">
        <f t="shared" si="83"/>
        <v>0</v>
      </c>
      <c r="Q115" s="412"/>
      <c r="R115" s="217" t="b">
        <f t="shared" si="84"/>
        <v>0</v>
      </c>
    </row>
    <row r="116" spans="1:18" x14ac:dyDescent="0.2">
      <c r="A116" s="276"/>
      <c r="B116" s="3" t="str">
        <f>IF(A116&gt;"",IF(ISERROR(VLOOKUP(A116,Names!$A$2:$C$223,3,FALSE)),"Un",VLOOKUP(A116,Names!$A$2:$C$223,3,FALSE)),"")</f>
        <v/>
      </c>
      <c r="C116" s="273"/>
      <c r="D116" s="273"/>
      <c r="F116" s="216" t="str">
        <f t="shared" si="82"/>
        <v/>
      </c>
      <c r="I116" s="275"/>
      <c r="L116" s="216">
        <f>(P116*7)+IF(B116="Un",IF(VLOOKUP(A116,Names!$A$2:$C$223,2,FALSE)="I",7,1),0)</f>
        <v>0</v>
      </c>
      <c r="M116" s="216"/>
      <c r="O116" s="412">
        <v>20</v>
      </c>
      <c r="P116" s="412">
        <f t="shared" si="83"/>
        <v>0</v>
      </c>
      <c r="Q116" s="412"/>
      <c r="R116" s="217" t="b">
        <f t="shared" si="84"/>
        <v>0</v>
      </c>
    </row>
    <row r="117" spans="1:18" x14ac:dyDescent="0.2">
      <c r="A117" s="276"/>
      <c r="B117" s="3" t="str">
        <f>IF(A117&gt;"",IF(ISERROR(VLOOKUP(A117,Names!$A$2:$C$223,3,FALSE)),"Un",VLOOKUP(A117,Names!$A$2:$C$223,3,FALSE)),"")</f>
        <v/>
      </c>
      <c r="C117" s="273"/>
      <c r="D117" s="273"/>
      <c r="F117" s="216" t="str">
        <f t="shared" si="82"/>
        <v/>
      </c>
      <c r="I117" s="275"/>
      <c r="L117" s="216">
        <f>(P117*7)+IF(B117="Un",IF(VLOOKUP(A117,Names!$A$2:$C$223,2,FALSE)="I",7,1),0)</f>
        <v>0</v>
      </c>
      <c r="M117" s="216"/>
      <c r="O117" s="412">
        <v>20</v>
      </c>
      <c r="P117" s="412">
        <f t="shared" si="83"/>
        <v>0</v>
      </c>
      <c r="Q117" s="412"/>
      <c r="R117" s="217" t="b">
        <f t="shared" si="84"/>
        <v>0</v>
      </c>
    </row>
    <row r="118" spans="1:18" x14ac:dyDescent="0.2">
      <c r="F118" s="237" t="str">
        <f>SUMIF(D108:D117,"",F108:F117)&amp;" am "&amp;SUMIF(D108:D117,"a",F108:F117)&amp;" pm "&amp;SUMIF(D108:D117,"p",F108:F117)</f>
        <v>0 am 0 pm 0</v>
      </c>
      <c r="R118" s="217"/>
    </row>
  </sheetData>
  <sheetProtection formatCells="0" formatColumns="0" formatRows="0"/>
  <phoneticPr fontId="3" type="noConversion"/>
  <pageMargins left="0.39370078740157483" right="0.39370078740157483" top="0.39370078740157483" bottom="0.39370078740157483" header="0.19685039370078741" footer="0.19685039370078741"/>
  <pageSetup paperSize="9" orientation="landscape" blackAndWhite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93A72-E2F7-4B72-B0F7-2F704A8510C3}">
  <dimension ref="A1:O12"/>
  <sheetViews>
    <sheetView workbookViewId="0">
      <pane ySplit="4" topLeftCell="A5" activePane="bottomLeft" state="frozenSplit"/>
      <selection pane="bottomLeft" activeCell="E5" sqref="E5"/>
    </sheetView>
  </sheetViews>
  <sheetFormatPr defaultColWidth="9.140625" defaultRowHeight="12.75" x14ac:dyDescent="0.2"/>
  <cols>
    <col min="1" max="1" width="10.85546875" style="664" customWidth="1"/>
    <col min="2" max="2" width="35.5703125" style="665" customWidth="1"/>
    <col min="3" max="4" width="12.7109375" style="666" customWidth="1"/>
    <col min="5" max="6" width="12.7109375" style="667" customWidth="1"/>
    <col min="7" max="7" width="4.28515625" style="633" customWidth="1"/>
    <col min="8" max="13" width="9.140625" style="633"/>
    <col min="14" max="14" width="14.28515625" style="633" customWidth="1"/>
    <col min="15" max="16384" width="9.140625" style="633"/>
  </cols>
  <sheetData>
    <row r="1" spans="1:15" x14ac:dyDescent="0.2">
      <c r="A1" s="668">
        <f>SUM(C:C)-SUM(D:D)</f>
        <v>500</v>
      </c>
      <c r="B1" s="669" t="s">
        <v>1850</v>
      </c>
      <c r="C1" s="670"/>
      <c r="D1" s="670"/>
      <c r="E1" s="671"/>
      <c r="F1" s="671"/>
      <c r="H1" s="659" t="s">
        <v>1874</v>
      </c>
      <c r="I1" s="660"/>
      <c r="J1" s="660"/>
      <c r="K1" s="660"/>
      <c r="L1" s="661"/>
    </row>
    <row r="2" spans="1:15" x14ac:dyDescent="0.2">
      <c r="A2" s="668">
        <f>SUM(E:E)-SUM(F:F)</f>
        <v>9000</v>
      </c>
      <c r="B2" s="669" t="s">
        <v>1851</v>
      </c>
      <c r="C2" s="670"/>
      <c r="D2" s="670"/>
      <c r="E2" s="671"/>
      <c r="F2" s="671"/>
      <c r="H2" s="635" t="s">
        <v>1852</v>
      </c>
      <c r="I2" s="636" t="s">
        <v>1853</v>
      </c>
      <c r="J2" s="636" t="s">
        <v>1854</v>
      </c>
      <c r="K2" s="636" t="s">
        <v>1855</v>
      </c>
      <c r="L2" s="637" t="s">
        <v>1856</v>
      </c>
      <c r="N2" s="633" t="s">
        <v>1857</v>
      </c>
      <c r="O2" s="634">
        <f>SUM(C:C)</f>
        <v>500</v>
      </c>
    </row>
    <row r="3" spans="1:15" x14ac:dyDescent="0.2">
      <c r="A3" s="672">
        <f>Setup!K12</f>
        <v>1</v>
      </c>
      <c r="B3" s="669" t="s">
        <v>1858</v>
      </c>
      <c r="C3" s="670"/>
      <c r="D3" s="670"/>
      <c r="E3" s="673" t="s">
        <v>1873</v>
      </c>
      <c r="F3" s="671"/>
      <c r="H3" s="678"/>
      <c r="I3" s="679"/>
      <c r="J3" s="679"/>
      <c r="K3" s="679"/>
      <c r="L3" s="655">
        <f>ROUND(H3/4,0)+I3+(J3*12)+(K3*12*21)</f>
        <v>0</v>
      </c>
      <c r="N3" s="633" t="s">
        <v>1859</v>
      </c>
      <c r="O3" s="634">
        <f>SUM(E:E)</f>
        <v>9000</v>
      </c>
    </row>
    <row r="4" spans="1:15" s="641" customFormat="1" ht="13.5" thickBot="1" x14ac:dyDescent="0.25">
      <c r="A4" s="674" t="s">
        <v>1860</v>
      </c>
      <c r="B4" s="675" t="s">
        <v>1558</v>
      </c>
      <c r="C4" s="676" t="s">
        <v>1861</v>
      </c>
      <c r="D4" s="676" t="s">
        <v>1862</v>
      </c>
      <c r="E4" s="677" t="s">
        <v>1872</v>
      </c>
      <c r="F4" s="676" t="s">
        <v>1863</v>
      </c>
      <c r="G4" s="633"/>
      <c r="H4" s="638"/>
      <c r="I4" s="639" t="s">
        <v>1879</v>
      </c>
      <c r="J4" s="680">
        <v>10000</v>
      </c>
      <c r="K4" s="640" t="str">
        <f>"/ "&amp;A3&amp;" = "</f>
        <v xml:space="preserve">/ 1 = </v>
      </c>
      <c r="L4" s="656">
        <f>J4/A3</f>
        <v>10000</v>
      </c>
    </row>
    <row r="5" spans="1:15" x14ac:dyDescent="0.2">
      <c r="A5" s="664" t="s">
        <v>1865</v>
      </c>
      <c r="B5" s="665" t="s">
        <v>1867</v>
      </c>
      <c r="C5" s="662">
        <v>500</v>
      </c>
      <c r="E5" s="663">
        <f>IF(Setup!B4="",6500,0)+2500</f>
        <v>9000</v>
      </c>
    </row>
    <row r="6" spans="1:15" x14ac:dyDescent="0.2">
      <c r="B6" s="665" t="s">
        <v>1868</v>
      </c>
    </row>
    <row r="7" spans="1:15" x14ac:dyDescent="0.2">
      <c r="B7" s="665" t="s">
        <v>1864</v>
      </c>
    </row>
    <row r="12" spans="1:15" x14ac:dyDescent="0.2">
      <c r="C12" s="665"/>
    </row>
  </sheetData>
  <sheetProtection selectLockedCells="1" selectUnlockedCells="1"/>
  <printOptions gridLines="1"/>
  <pageMargins left="0.75" right="0.75" top="1" bottom="1" header="0.5" footer="0.5"/>
  <pageSetup paperSize="9" firstPageNumber="0" orientation="portrait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65"/>
  <sheetViews>
    <sheetView tabSelected="1" workbookViewId="0">
      <pane xSplit="1" topLeftCell="B1" activePane="topRight" state="frozen"/>
      <selection activeCell="A13" sqref="A13"/>
      <selection pane="topRight" activeCell="B1" sqref="B1"/>
    </sheetView>
  </sheetViews>
  <sheetFormatPr defaultColWidth="9.140625" defaultRowHeight="12.75" x14ac:dyDescent="0.2"/>
  <cols>
    <col min="1" max="1" width="15" style="5" customWidth="1"/>
    <col min="2" max="14" width="5.7109375" style="5" customWidth="1"/>
    <col min="15" max="16384" width="9.140625" style="5"/>
  </cols>
  <sheetData>
    <row r="1" spans="1:27" x14ac:dyDescent="0.2">
      <c r="A1" s="118" t="s">
        <v>1270</v>
      </c>
      <c r="B1" s="605" t="s">
        <v>1370</v>
      </c>
      <c r="C1" s="606"/>
      <c r="D1" s="606"/>
      <c r="E1" s="606"/>
      <c r="F1" s="606"/>
      <c r="G1" s="607"/>
      <c r="H1" s="607"/>
      <c r="I1" s="607"/>
      <c r="N1" s="681" t="s">
        <v>277</v>
      </c>
      <c r="O1" s="682"/>
      <c r="P1" s="682"/>
      <c r="Q1" s="683" t="s">
        <v>1973</v>
      </c>
      <c r="R1" s="682"/>
      <c r="S1" s="682"/>
      <c r="T1" s="682"/>
      <c r="U1" s="682"/>
      <c r="V1" s="682"/>
      <c r="W1" s="682"/>
      <c r="X1" s="682"/>
      <c r="Y1" s="682"/>
      <c r="Z1" s="682"/>
      <c r="AA1" s="682"/>
    </row>
    <row r="2" spans="1:27" x14ac:dyDescent="0.2">
      <c r="A2" s="118" t="s">
        <v>131</v>
      </c>
      <c r="B2" s="598" t="s">
        <v>1512</v>
      </c>
      <c r="C2" s="606"/>
      <c r="D2" s="606"/>
      <c r="E2" s="606"/>
      <c r="F2" s="606"/>
      <c r="G2" s="607"/>
      <c r="H2" s="607"/>
      <c r="I2" s="607"/>
      <c r="J2" s="8"/>
      <c r="K2" s="8"/>
      <c r="N2" s="684" t="s">
        <v>1187</v>
      </c>
      <c r="O2" s="685"/>
      <c r="P2" s="685"/>
      <c r="Q2" s="682"/>
      <c r="R2" s="682"/>
      <c r="S2" s="682"/>
      <c r="T2" s="682"/>
      <c r="U2" s="682"/>
      <c r="V2" s="682"/>
      <c r="W2" s="682"/>
      <c r="X2" s="682"/>
      <c r="Y2" s="682"/>
      <c r="Z2" s="682"/>
      <c r="AA2" s="682"/>
    </row>
    <row r="3" spans="1:27" x14ac:dyDescent="0.2">
      <c r="A3" s="118" t="s">
        <v>132</v>
      </c>
      <c r="B3" s="812" t="s">
        <v>134</v>
      </c>
      <c r="C3" s="812"/>
      <c r="D3" s="812"/>
      <c r="E3" s="812"/>
      <c r="F3" s="599"/>
      <c r="N3" s="684" t="s">
        <v>1536</v>
      </c>
      <c r="O3" s="682"/>
      <c r="P3" s="682"/>
      <c r="Q3" s="682"/>
      <c r="R3" s="682"/>
      <c r="S3" s="682"/>
      <c r="T3" s="682"/>
      <c r="U3" s="682"/>
      <c r="V3" s="682"/>
      <c r="W3" s="682"/>
      <c r="X3" s="682"/>
      <c r="Y3" s="682"/>
      <c r="Z3" s="682"/>
      <c r="AA3" s="682"/>
    </row>
    <row r="4" spans="1:27" x14ac:dyDescent="0.2">
      <c r="A4" s="118" t="s">
        <v>133</v>
      </c>
      <c r="B4" s="812"/>
      <c r="C4" s="812"/>
      <c r="D4" s="812"/>
      <c r="E4" s="812"/>
      <c r="F4" s="599"/>
      <c r="G4" s="604" t="str">
        <f>IFERROR(IF(VLOOKUP($B$4,$D$45:$E$65,2,FALSE)&gt;E20,"Insufficient MA","MA requirement met!"),"")</f>
        <v/>
      </c>
      <c r="N4" s="686"/>
      <c r="O4" s="682"/>
      <c r="P4" s="682"/>
      <c r="Q4" s="682"/>
      <c r="R4" s="682"/>
      <c r="S4" s="682"/>
      <c r="T4" s="682"/>
      <c r="U4" s="682"/>
      <c r="V4" s="682"/>
      <c r="W4" s="682"/>
      <c r="X4" s="682"/>
      <c r="Y4" s="682"/>
      <c r="Z4" s="682"/>
      <c r="AA4" s="682"/>
    </row>
    <row r="5" spans="1:27" x14ac:dyDescent="0.2">
      <c r="A5" s="118" t="s">
        <v>192</v>
      </c>
      <c r="B5" s="812" t="s">
        <v>1605</v>
      </c>
      <c r="C5" s="812"/>
      <c r="D5" s="599"/>
      <c r="E5" s="599"/>
      <c r="F5" s="599"/>
      <c r="N5" s="686" t="s">
        <v>1173</v>
      </c>
      <c r="O5" s="682"/>
      <c r="P5" s="682"/>
      <c r="Q5" s="682"/>
      <c r="R5" s="682"/>
      <c r="S5" s="682"/>
      <c r="T5" s="682"/>
      <c r="U5" s="682"/>
      <c r="V5" s="682"/>
      <c r="W5" s="682"/>
      <c r="X5" s="682"/>
      <c r="Y5" s="682"/>
      <c r="Z5" s="682"/>
      <c r="AA5" s="682"/>
    </row>
    <row r="6" spans="1:27" x14ac:dyDescent="0.2">
      <c r="A6" s="118" t="s">
        <v>193</v>
      </c>
      <c r="B6" s="812" t="s">
        <v>1727</v>
      </c>
      <c r="C6" s="812"/>
      <c r="D6" s="599"/>
      <c r="E6" s="618" t="s">
        <v>1729</v>
      </c>
      <c r="F6" s="599"/>
      <c r="N6" s="684" t="s">
        <v>1537</v>
      </c>
      <c r="O6" s="682"/>
      <c r="P6" s="682"/>
      <c r="Q6" s="682"/>
      <c r="R6" s="682"/>
      <c r="S6" s="682"/>
      <c r="T6" s="682"/>
      <c r="U6" s="682"/>
      <c r="V6" s="682"/>
      <c r="W6" s="682"/>
      <c r="X6" s="682"/>
      <c r="Y6" s="682"/>
      <c r="Z6" s="682"/>
      <c r="AA6" s="682"/>
    </row>
    <row r="7" spans="1:27" x14ac:dyDescent="0.2">
      <c r="A7" s="118" t="s">
        <v>194</v>
      </c>
      <c r="B7" s="614" t="str">
        <f>TRUNC(J7/12,0)&amp;"' "&amp;MOD(J7,12)&amp;""""</f>
        <v>5' 9"</v>
      </c>
      <c r="C7" s="615"/>
      <c r="D7" s="599"/>
      <c r="F7" s="632" t="s">
        <v>1627</v>
      </c>
      <c r="G7" s="574" t="s">
        <v>18</v>
      </c>
      <c r="I7" s="617" t="s">
        <v>1629</v>
      </c>
      <c r="J7" s="618">
        <f>ROUND(VLOOKUP($B$3,$A$30:$P$37,15,FALSE)*VLOOKUP($B$5,$A$40:$P$42,15,FALSE)*VLOOKUP($G$7,$N$45:$P$59,2,FALSE),0)</f>
        <v>69</v>
      </c>
      <c r="K7" s="412">
        <f>ROUND(J7*2.54/100,2)</f>
        <v>1.75</v>
      </c>
      <c r="L7" s="412" t="s">
        <v>1632</v>
      </c>
      <c r="M7" s="412"/>
      <c r="N7" s="684"/>
      <c r="O7" s="682"/>
      <c r="P7" s="682"/>
      <c r="Q7" s="682"/>
      <c r="R7" s="682"/>
      <c r="S7" s="682"/>
      <c r="T7" s="682"/>
      <c r="U7" s="682"/>
      <c r="V7" s="682"/>
      <c r="W7" s="682"/>
      <c r="X7" s="682"/>
      <c r="Y7" s="682"/>
      <c r="Z7" s="682"/>
      <c r="AA7" s="682"/>
    </row>
    <row r="8" spans="1:27" x14ac:dyDescent="0.2">
      <c r="A8" s="118" t="s">
        <v>195</v>
      </c>
      <c r="B8" s="614" t="str">
        <f>J8&amp;" lbs"</f>
        <v>150 lbs</v>
      </c>
      <c r="C8" s="616"/>
      <c r="D8" s="282"/>
      <c r="E8" s="282"/>
      <c r="F8" s="632" t="s">
        <v>1628</v>
      </c>
      <c r="G8" s="574" t="s">
        <v>18</v>
      </c>
      <c r="I8" s="617" t="s">
        <v>1630</v>
      </c>
      <c r="J8" s="618">
        <f>ROUND(VLOOKUP($B$3,$A$30:$P$37,16,FALSE)*VLOOKUP($B$5,$A$40:$P$42,16,FALSE)*VLOOKUP($G$7,$N$45:$P$59,3,FALSE)*VLOOKUP($G$8,$N$45:$P$59,3,FALSE),0)</f>
        <v>150</v>
      </c>
      <c r="K8" s="412">
        <f>ROUND(J8/2.20462,0)</f>
        <v>68</v>
      </c>
      <c r="L8" s="412" t="s">
        <v>1631</v>
      </c>
      <c r="M8" s="412"/>
      <c r="N8" s="684" t="s">
        <v>1188</v>
      </c>
      <c r="O8" s="682"/>
      <c r="P8" s="682"/>
      <c r="Q8" s="682"/>
      <c r="R8" s="682"/>
      <c r="S8" s="682"/>
      <c r="T8" s="682"/>
      <c r="U8" s="682"/>
      <c r="V8" s="682"/>
      <c r="W8" s="682"/>
      <c r="X8" s="682"/>
      <c r="Y8" s="682"/>
      <c r="Z8" s="682"/>
      <c r="AA8" s="682"/>
    </row>
    <row r="9" spans="1:27" ht="12.75" customHeight="1" x14ac:dyDescent="0.2">
      <c r="A9" s="118" t="s">
        <v>196</v>
      </c>
      <c r="B9" s="812"/>
      <c r="C9" s="812"/>
      <c r="D9" s="812"/>
      <c r="E9" s="812"/>
      <c r="F9" s="599"/>
      <c r="G9" s="618" t="s">
        <v>1848</v>
      </c>
      <c r="N9" s="686"/>
      <c r="O9" s="682"/>
      <c r="P9" s="682"/>
      <c r="Q9" s="682"/>
      <c r="R9" s="682"/>
      <c r="S9" s="682"/>
      <c r="T9" s="682"/>
      <c r="U9" s="682"/>
      <c r="V9" s="682"/>
      <c r="W9" s="682"/>
      <c r="X9" s="682"/>
      <c r="Y9" s="682"/>
      <c r="Z9" s="682"/>
      <c r="AA9" s="682"/>
    </row>
    <row r="10" spans="1:27" x14ac:dyDescent="0.2">
      <c r="A10" s="118" t="s">
        <v>197</v>
      </c>
      <c r="B10" s="812" t="s">
        <v>888</v>
      </c>
      <c r="C10" s="812"/>
      <c r="D10" s="812"/>
      <c r="E10" s="812"/>
      <c r="F10" s="599"/>
      <c r="G10" s="618" t="s">
        <v>1848</v>
      </c>
      <c r="N10" s="686" t="s">
        <v>1875</v>
      </c>
      <c r="O10" s="682"/>
      <c r="P10" s="682"/>
      <c r="Q10" s="682"/>
      <c r="R10" s="682"/>
      <c r="S10" s="682"/>
      <c r="T10" s="682"/>
      <c r="U10" s="682"/>
      <c r="V10" s="682"/>
      <c r="W10" s="682"/>
      <c r="X10" s="682"/>
      <c r="Y10" s="682"/>
      <c r="Z10" s="682"/>
      <c r="AA10" s="682"/>
    </row>
    <row r="11" spans="1:27" x14ac:dyDescent="0.2">
      <c r="A11" s="118" t="s">
        <v>198</v>
      </c>
      <c r="B11" s="598" t="s">
        <v>1734</v>
      </c>
      <c r="C11" s="599"/>
      <c r="D11" s="599"/>
      <c r="E11" s="599"/>
      <c r="F11" s="599"/>
      <c r="G11" s="618" t="s">
        <v>1849</v>
      </c>
      <c r="N11" s="684"/>
      <c r="O11" s="684" t="s">
        <v>1185</v>
      </c>
      <c r="P11" s="682"/>
      <c r="Q11" s="682"/>
      <c r="R11" s="682"/>
      <c r="S11" s="682"/>
      <c r="T11" s="682"/>
      <c r="U11" s="682"/>
      <c r="V11" s="682"/>
      <c r="W11" s="682"/>
      <c r="X11" s="682"/>
      <c r="Y11" s="682"/>
      <c r="Z11" s="682"/>
      <c r="AA11" s="682"/>
    </row>
    <row r="12" spans="1:27" x14ac:dyDescent="0.2">
      <c r="A12" s="118" t="s">
        <v>1170</v>
      </c>
      <c r="B12" s="258">
        <f>VLOOKUP($B$3,$A$30:$N$37,14,FALSE)+VLOOKUP($B$5,$A$40:$N$42,14,FALSE)</f>
        <v>6</v>
      </c>
      <c r="C12" s="604" t="s">
        <v>1175</v>
      </c>
      <c r="J12" s="222" t="s">
        <v>1866</v>
      </c>
      <c r="K12" s="623">
        <f>VLOOKUP(B3,A29:S37,19,FALSE)+L12</f>
        <v>1</v>
      </c>
      <c r="L12" s="607"/>
      <c r="M12" s="412" t="s">
        <v>1870</v>
      </c>
      <c r="N12" s="684"/>
      <c r="O12" s="682"/>
      <c r="P12" s="682"/>
      <c r="Q12" s="682"/>
      <c r="R12" s="682"/>
      <c r="S12" s="682"/>
      <c r="T12" s="682"/>
      <c r="U12" s="682"/>
      <c r="V12" s="682"/>
      <c r="W12" s="682"/>
      <c r="X12" s="682"/>
      <c r="Y12" s="682"/>
      <c r="Z12" s="682"/>
      <c r="AA12" s="682"/>
    </row>
    <row r="13" spans="1:27" x14ac:dyDescent="0.2">
      <c r="N13" s="684" t="s">
        <v>1186</v>
      </c>
      <c r="O13" s="682"/>
      <c r="P13" s="682"/>
      <c r="Q13" s="682"/>
      <c r="R13" s="682"/>
      <c r="S13" s="682"/>
      <c r="T13" s="682"/>
      <c r="U13" s="682"/>
      <c r="V13" s="682"/>
      <c r="W13" s="682"/>
      <c r="X13" s="682"/>
      <c r="Y13" s="682"/>
      <c r="Z13" s="682"/>
      <c r="AA13" s="682"/>
    </row>
    <row r="14" spans="1:27" x14ac:dyDescent="0.2">
      <c r="A14" s="118" t="s">
        <v>1609</v>
      </c>
      <c r="F14" s="537" t="s">
        <v>1847</v>
      </c>
      <c r="G14" s="622">
        <f>SUM(B16:G16)</f>
        <v>90</v>
      </c>
      <c r="H14" s="604" t="s">
        <v>1846</v>
      </c>
      <c r="N14" s="686"/>
      <c r="O14" s="682"/>
      <c r="P14" s="682"/>
      <c r="Q14" s="682"/>
      <c r="R14" s="682"/>
      <c r="S14" s="682"/>
      <c r="T14" s="682"/>
      <c r="U14" s="682"/>
      <c r="V14" s="682"/>
      <c r="W14" s="682"/>
      <c r="X14" s="682"/>
      <c r="Y14" s="682"/>
      <c r="Z14" s="682"/>
      <c r="AA14" s="682"/>
    </row>
    <row r="15" spans="1:27" x14ac:dyDescent="0.2">
      <c r="A15" s="608" t="s">
        <v>366</v>
      </c>
      <c r="B15" s="119" t="s">
        <v>109</v>
      </c>
      <c r="C15" s="105" t="s">
        <v>110</v>
      </c>
      <c r="D15" s="105" t="s">
        <v>111</v>
      </c>
      <c r="E15" s="105" t="s">
        <v>112</v>
      </c>
      <c r="F15" s="105" t="s">
        <v>113</v>
      </c>
      <c r="G15" s="105" t="s">
        <v>114</v>
      </c>
      <c r="H15" s="119" t="s">
        <v>124</v>
      </c>
      <c r="I15" s="105" t="s">
        <v>122</v>
      </c>
      <c r="J15" s="105" t="s">
        <v>1714</v>
      </c>
      <c r="N15" s="686" t="s">
        <v>1174</v>
      </c>
      <c r="O15" s="682"/>
      <c r="P15" s="682"/>
      <c r="Q15" s="682"/>
      <c r="R15" s="682"/>
      <c r="S15" s="682"/>
      <c r="T15" s="682"/>
      <c r="U15" s="682"/>
      <c r="V15" s="682"/>
      <c r="W15" s="682"/>
      <c r="X15" s="682"/>
      <c r="Y15" s="682"/>
      <c r="Z15" s="682"/>
      <c r="AA15" s="682"/>
    </row>
    <row r="16" spans="1:27" x14ac:dyDescent="0.2">
      <c r="A16" s="260" t="s">
        <v>1599</v>
      </c>
      <c r="B16" s="624">
        <v>15</v>
      </c>
      <c r="C16" s="625">
        <v>15</v>
      </c>
      <c r="D16" s="625">
        <v>15</v>
      </c>
      <c r="E16" s="625">
        <v>15</v>
      </c>
      <c r="F16" s="625">
        <v>15</v>
      </c>
      <c r="G16" s="626">
        <v>15</v>
      </c>
      <c r="H16" s="609">
        <f>15+TRUNC((SUM(G16:G17)+1)/3,0)</f>
        <v>20</v>
      </c>
      <c r="I16" s="609">
        <v>5</v>
      </c>
      <c r="J16" s="610">
        <v>15</v>
      </c>
      <c r="N16" s="686" t="s">
        <v>1535</v>
      </c>
      <c r="O16" s="682"/>
      <c r="P16" s="682"/>
      <c r="Q16" s="682"/>
      <c r="R16" s="682"/>
      <c r="S16" s="682"/>
      <c r="T16" s="682"/>
      <c r="U16" s="682"/>
      <c r="V16" s="682"/>
      <c r="W16" s="682"/>
      <c r="X16" s="682"/>
      <c r="Y16" s="682"/>
      <c r="Z16" s="682"/>
      <c r="AA16" s="682"/>
    </row>
    <row r="17" spans="1:27" x14ac:dyDescent="0.2">
      <c r="A17" s="260" t="s">
        <v>1607</v>
      </c>
      <c r="B17" s="609">
        <f>VLOOKUP($B$3,$A$30:$N$37,COLUMN(),FALSE)+VLOOKUP($B$5,$A$40:$N$42,COLUMN(),FALSE)</f>
        <v>0</v>
      </c>
      <c r="C17" s="609">
        <f t="shared" ref="C17:J17" si="0">VLOOKUP($B$3,$A$30:$N$37,COLUMN(),FALSE)+VLOOKUP($B$5,$A$40:$N$42,COLUMN(),FALSE)</f>
        <v>0</v>
      </c>
      <c r="D17" s="609">
        <f t="shared" si="0"/>
        <v>0</v>
      </c>
      <c r="E17" s="609">
        <f t="shared" si="0"/>
        <v>0</v>
      </c>
      <c r="F17" s="609">
        <f t="shared" si="0"/>
        <v>0</v>
      </c>
      <c r="G17" s="609">
        <f t="shared" si="0"/>
        <v>0</v>
      </c>
      <c r="H17" s="609">
        <f t="shared" si="0"/>
        <v>0</v>
      </c>
      <c r="I17" s="609">
        <f t="shared" si="0"/>
        <v>0</v>
      </c>
      <c r="J17" s="609">
        <f t="shared" si="0"/>
        <v>0</v>
      </c>
      <c r="N17" s="684"/>
      <c r="O17" s="682"/>
      <c r="P17" s="682"/>
      <c r="Q17" s="682"/>
      <c r="R17" s="682"/>
      <c r="S17" s="682"/>
      <c r="T17" s="682"/>
      <c r="U17" s="682"/>
      <c r="V17" s="682"/>
      <c r="W17" s="682"/>
      <c r="X17" s="682"/>
      <c r="Y17" s="682"/>
      <c r="Z17" s="682"/>
      <c r="AA17" s="682"/>
    </row>
    <row r="18" spans="1:27" x14ac:dyDescent="0.2">
      <c r="A18" s="260" t="s">
        <v>1603</v>
      </c>
      <c r="B18" s="610"/>
      <c r="C18" s="610"/>
      <c r="D18" s="610"/>
      <c r="E18" s="610"/>
      <c r="F18" s="610"/>
      <c r="G18" s="610"/>
      <c r="H18" s="610"/>
      <c r="I18" s="610"/>
      <c r="N18" s="684" t="s">
        <v>1869</v>
      </c>
      <c r="O18" s="682"/>
      <c r="P18" s="682"/>
      <c r="Q18" s="682"/>
      <c r="R18" s="682"/>
      <c r="S18" s="682"/>
      <c r="T18" s="682"/>
      <c r="U18" s="682"/>
      <c r="V18" s="682"/>
      <c r="W18" s="682"/>
      <c r="X18" s="682"/>
      <c r="Y18" s="682"/>
      <c r="Z18" s="682"/>
      <c r="AA18" s="682"/>
    </row>
    <row r="19" spans="1:27" x14ac:dyDescent="0.2">
      <c r="N19" s="684" t="s">
        <v>1871</v>
      </c>
      <c r="O19" s="682"/>
      <c r="P19" s="682"/>
      <c r="Q19" s="682"/>
      <c r="R19" s="682"/>
      <c r="S19" s="682"/>
      <c r="T19" s="682"/>
      <c r="U19" s="682"/>
      <c r="V19" s="682"/>
      <c r="W19" s="682"/>
      <c r="X19" s="682"/>
      <c r="Y19" s="682"/>
      <c r="Z19" s="682"/>
      <c r="AA19" s="682"/>
    </row>
    <row r="20" spans="1:27" x14ac:dyDescent="0.2">
      <c r="A20" s="608" t="s">
        <v>1608</v>
      </c>
      <c r="B20" s="612">
        <f>SUM(B16:B18)</f>
        <v>15</v>
      </c>
      <c r="C20" s="612">
        <f t="shared" ref="C20:J20" si="1">SUM(C16:C18)</f>
        <v>15</v>
      </c>
      <c r="D20" s="612">
        <f t="shared" si="1"/>
        <v>15</v>
      </c>
      <c r="E20" s="612">
        <f t="shared" si="1"/>
        <v>15</v>
      </c>
      <c r="F20" s="612">
        <f t="shared" si="1"/>
        <v>15</v>
      </c>
      <c r="G20" s="612">
        <f t="shared" si="1"/>
        <v>15</v>
      </c>
      <c r="H20" s="612">
        <f t="shared" si="1"/>
        <v>20</v>
      </c>
      <c r="I20" s="612">
        <f t="shared" si="1"/>
        <v>5</v>
      </c>
      <c r="J20" s="612">
        <f t="shared" si="1"/>
        <v>15</v>
      </c>
      <c r="N20" s="686" t="s">
        <v>1633</v>
      </c>
      <c r="O20" s="682"/>
      <c r="P20" s="682"/>
      <c r="Q20" s="682"/>
      <c r="R20" s="682"/>
      <c r="S20" s="682"/>
      <c r="T20" s="682"/>
      <c r="U20" s="682"/>
      <c r="V20" s="682"/>
      <c r="W20" s="682"/>
      <c r="X20" s="682"/>
      <c r="Y20" s="682"/>
      <c r="Z20" s="682"/>
      <c r="AA20" s="682"/>
    </row>
    <row r="21" spans="1:27" x14ac:dyDescent="0.2">
      <c r="A21" s="104"/>
    </row>
    <row r="22" spans="1:27" x14ac:dyDescent="0.2">
      <c r="A22" s="608" t="s">
        <v>367</v>
      </c>
      <c r="B22" s="611">
        <f>MIN(B16+B17+5,25+B17)</f>
        <v>20</v>
      </c>
      <c r="C22" s="611">
        <f t="shared" ref="C22:G22" si="2">MIN(C16+C17+5,25+C17)</f>
        <v>20</v>
      </c>
      <c r="D22" s="611">
        <f t="shared" si="2"/>
        <v>20</v>
      </c>
      <c r="E22" s="611">
        <f t="shared" si="2"/>
        <v>20</v>
      </c>
      <c r="F22" s="611">
        <f t="shared" si="2"/>
        <v>20</v>
      </c>
      <c r="G22" s="611">
        <f t="shared" si="2"/>
        <v>20</v>
      </c>
      <c r="H22" s="611">
        <f>SUM(H16:H17,5)</f>
        <v>25</v>
      </c>
      <c r="I22" s="611">
        <f>SUM(I16:I17,20)</f>
        <v>25</v>
      </c>
      <c r="J22" s="611">
        <f>25+J17</f>
        <v>25</v>
      </c>
    </row>
    <row r="23" spans="1:27" x14ac:dyDescent="0.2">
      <c r="N23" s="685" t="s">
        <v>109</v>
      </c>
      <c r="O23" s="682" t="s">
        <v>1717</v>
      </c>
      <c r="P23" s="682"/>
      <c r="Q23" s="682"/>
      <c r="R23" s="685" t="s">
        <v>110</v>
      </c>
      <c r="S23" s="682" t="s">
        <v>1718</v>
      </c>
      <c r="T23" s="682"/>
      <c r="U23" s="682"/>
      <c r="V23" s="685" t="s">
        <v>111</v>
      </c>
      <c r="W23" s="682" t="s">
        <v>1719</v>
      </c>
      <c r="X23" s="682"/>
      <c r="Y23" s="682"/>
      <c r="Z23" s="682"/>
      <c r="AA23" s="682"/>
    </row>
    <row r="24" spans="1:27" x14ac:dyDescent="0.2">
      <c r="N24" s="685" t="s">
        <v>112</v>
      </c>
      <c r="O24" s="682" t="s">
        <v>1720</v>
      </c>
      <c r="P24" s="682"/>
      <c r="Q24" s="682"/>
      <c r="R24" s="685" t="s">
        <v>113</v>
      </c>
      <c r="S24" s="682" t="s">
        <v>1721</v>
      </c>
      <c r="T24" s="682"/>
      <c r="U24" s="682"/>
      <c r="V24" s="685" t="s">
        <v>123</v>
      </c>
      <c r="W24" s="682" t="s">
        <v>1725</v>
      </c>
      <c r="X24" s="682"/>
      <c r="Y24" s="682"/>
      <c r="Z24" s="682"/>
      <c r="AA24" s="682"/>
    </row>
    <row r="25" spans="1:27" x14ac:dyDescent="0.2">
      <c r="N25" s="685" t="s">
        <v>114</v>
      </c>
      <c r="O25" s="682" t="s">
        <v>1722</v>
      </c>
      <c r="P25" s="682"/>
      <c r="Q25" s="682"/>
      <c r="R25" s="685" t="s">
        <v>124</v>
      </c>
      <c r="S25" s="682" t="s">
        <v>1723</v>
      </c>
      <c r="T25" s="682"/>
      <c r="U25" s="682"/>
      <c r="V25" s="685" t="s">
        <v>122</v>
      </c>
      <c r="W25" s="682" t="s">
        <v>1724</v>
      </c>
      <c r="X25" s="682"/>
      <c r="Y25" s="682"/>
    </row>
    <row r="26" spans="1:27" x14ac:dyDescent="0.2">
      <c r="N26" s="685" t="s">
        <v>127</v>
      </c>
      <c r="O26" s="682" t="s">
        <v>1716</v>
      </c>
      <c r="P26" s="682"/>
      <c r="Q26" s="682"/>
      <c r="R26" s="685"/>
      <c r="S26" s="682"/>
      <c r="T26" s="682"/>
      <c r="U26" s="682"/>
    </row>
    <row r="28" spans="1:27" x14ac:dyDescent="0.2">
      <c r="A28" s="642"/>
      <c r="B28" s="642"/>
      <c r="C28" s="642"/>
      <c r="D28" s="642"/>
      <c r="E28" s="642"/>
      <c r="F28" s="642"/>
      <c r="G28" s="642"/>
      <c r="H28" s="642"/>
      <c r="I28" s="642"/>
      <c r="J28" s="642"/>
      <c r="K28" s="642"/>
      <c r="L28" s="642"/>
      <c r="M28" s="642"/>
      <c r="N28" s="642"/>
      <c r="O28" s="642"/>
      <c r="P28" s="642"/>
      <c r="Q28" s="642"/>
      <c r="R28" s="642"/>
      <c r="S28" s="642"/>
      <c r="T28" s="642" t="s">
        <v>1741</v>
      </c>
      <c r="U28" s="642"/>
      <c r="V28" s="642"/>
      <c r="W28" s="642"/>
      <c r="X28" s="642"/>
      <c r="Y28" s="642"/>
    </row>
    <row r="29" spans="1:27" x14ac:dyDescent="0.2">
      <c r="A29" s="643" t="s">
        <v>1596</v>
      </c>
      <c r="B29" s="644" t="s">
        <v>109</v>
      </c>
      <c r="C29" s="645" t="s">
        <v>110</v>
      </c>
      <c r="D29" s="645" t="s">
        <v>111</v>
      </c>
      <c r="E29" s="645" t="s">
        <v>112</v>
      </c>
      <c r="F29" s="645" t="s">
        <v>113</v>
      </c>
      <c r="G29" s="645" t="s">
        <v>114</v>
      </c>
      <c r="H29" s="644" t="s">
        <v>124</v>
      </c>
      <c r="I29" s="645" t="s">
        <v>122</v>
      </c>
      <c r="J29" s="645" t="s">
        <v>127</v>
      </c>
      <c r="K29" s="645" t="s">
        <v>123</v>
      </c>
      <c r="L29" s="645" t="s">
        <v>121</v>
      </c>
      <c r="M29" s="645" t="s">
        <v>1602</v>
      </c>
      <c r="N29" s="645" t="s">
        <v>1600</v>
      </c>
      <c r="O29" s="646" t="s">
        <v>194</v>
      </c>
      <c r="P29" s="646" t="s">
        <v>195</v>
      </c>
      <c r="Q29" s="646" t="s">
        <v>1715</v>
      </c>
      <c r="R29" s="647" t="s">
        <v>1740</v>
      </c>
      <c r="S29" s="648" t="s">
        <v>233</v>
      </c>
      <c r="T29" s="647" t="s">
        <v>160</v>
      </c>
      <c r="U29" s="647" t="s">
        <v>591</v>
      </c>
      <c r="V29" s="647" t="s">
        <v>159</v>
      </c>
      <c r="W29" s="647" t="s">
        <v>161</v>
      </c>
      <c r="X29" s="647" t="s">
        <v>365</v>
      </c>
      <c r="Y29" s="647" t="s">
        <v>158</v>
      </c>
    </row>
    <row r="30" spans="1:27" x14ac:dyDescent="0.2">
      <c r="A30" s="642" t="s">
        <v>506</v>
      </c>
      <c r="B30" s="642">
        <v>2</v>
      </c>
      <c r="C30" s="642"/>
      <c r="D30" s="642">
        <v>-2</v>
      </c>
      <c r="E30" s="642">
        <v>-2</v>
      </c>
      <c r="F30" s="642">
        <v>2</v>
      </c>
      <c r="G30" s="642">
        <v>2</v>
      </c>
      <c r="H30" s="642"/>
      <c r="I30" s="642">
        <v>1</v>
      </c>
      <c r="J30" s="642">
        <v>-2</v>
      </c>
      <c r="K30" s="642">
        <v>-1</v>
      </c>
      <c r="L30" s="642"/>
      <c r="M30" s="642"/>
      <c r="N30" s="642">
        <v>4</v>
      </c>
      <c r="O30" s="642">
        <v>51</v>
      </c>
      <c r="P30" s="642">
        <v>105</v>
      </c>
      <c r="Q30" s="642"/>
      <c r="R30" s="642"/>
      <c r="S30" s="649">
        <v>1.1000000000000001</v>
      </c>
      <c r="T30" s="650"/>
      <c r="U30" s="650"/>
      <c r="V30" s="650">
        <v>0.5</v>
      </c>
      <c r="W30" s="650"/>
      <c r="X30" s="650"/>
      <c r="Y30" s="650"/>
    </row>
    <row r="31" spans="1:27" x14ac:dyDescent="0.2">
      <c r="A31" s="642" t="s">
        <v>507</v>
      </c>
      <c r="B31" s="642">
        <v>-1</v>
      </c>
      <c r="C31" s="642"/>
      <c r="D31" s="642">
        <v>1</v>
      </c>
      <c r="E31" s="642">
        <v>1</v>
      </c>
      <c r="F31" s="642">
        <v>1</v>
      </c>
      <c r="G31" s="642">
        <v>-1</v>
      </c>
      <c r="H31" s="642"/>
      <c r="I31" s="642">
        <v>1</v>
      </c>
      <c r="J31" s="642">
        <v>2</v>
      </c>
      <c r="K31" s="642">
        <v>1</v>
      </c>
      <c r="L31" s="642"/>
      <c r="M31" s="642"/>
      <c r="N31" s="642">
        <v>5</v>
      </c>
      <c r="O31" s="642">
        <v>74</v>
      </c>
      <c r="P31" s="642">
        <v>120</v>
      </c>
      <c r="Q31" s="642">
        <v>10</v>
      </c>
      <c r="R31" s="642"/>
      <c r="S31" s="649">
        <v>1.2</v>
      </c>
      <c r="T31" s="650">
        <v>0.5</v>
      </c>
      <c r="U31" s="650">
        <v>0.25</v>
      </c>
      <c r="V31" s="650">
        <v>0.5</v>
      </c>
      <c r="W31" s="650"/>
      <c r="X31" s="642"/>
      <c r="Y31" s="642"/>
    </row>
    <row r="32" spans="1:27" x14ac:dyDescent="0.2">
      <c r="A32" s="642" t="s">
        <v>517</v>
      </c>
      <c r="B32" s="642">
        <v>-3</v>
      </c>
      <c r="C32" s="642">
        <v>3</v>
      </c>
      <c r="D32" s="642">
        <v>1</v>
      </c>
      <c r="E32" s="642">
        <v>-1</v>
      </c>
      <c r="F32" s="642">
        <v>1</v>
      </c>
      <c r="G32" s="642">
        <v>-2</v>
      </c>
      <c r="H32" s="642"/>
      <c r="I32" s="642"/>
      <c r="J32" s="642">
        <v>-1</v>
      </c>
      <c r="K32" s="642"/>
      <c r="L32" s="642"/>
      <c r="M32" s="642"/>
      <c r="N32" s="642">
        <v>3</v>
      </c>
      <c r="O32" s="642">
        <v>39</v>
      </c>
      <c r="P32" s="642">
        <v>68</v>
      </c>
      <c r="Q32" s="642">
        <v>20</v>
      </c>
      <c r="R32" s="642"/>
      <c r="S32" s="649">
        <v>1.1000000000000001</v>
      </c>
      <c r="T32" s="650"/>
      <c r="U32" s="650"/>
      <c r="V32" s="650"/>
      <c r="W32" s="650">
        <v>0.5</v>
      </c>
      <c r="X32" s="650"/>
      <c r="Y32" s="650"/>
    </row>
    <row r="33" spans="1:25" x14ac:dyDescent="0.2">
      <c r="A33" s="642" t="s">
        <v>1597</v>
      </c>
      <c r="B33" s="642">
        <v>7</v>
      </c>
      <c r="C33" s="642">
        <v>-1</v>
      </c>
      <c r="D33" s="642">
        <v>-2</v>
      </c>
      <c r="E33" s="642">
        <v>-1</v>
      </c>
      <c r="F33" s="642">
        <v>-1</v>
      </c>
      <c r="G33" s="642">
        <v>8</v>
      </c>
      <c r="H33" s="642">
        <v>1</v>
      </c>
      <c r="I33" s="642"/>
      <c r="J33" s="642">
        <v>-1</v>
      </c>
      <c r="K33" s="642">
        <v>3</v>
      </c>
      <c r="L33" s="642">
        <v>10</v>
      </c>
      <c r="M33" s="642"/>
      <c r="N33" s="642">
        <v>9</v>
      </c>
      <c r="O33" s="642">
        <v>108</v>
      </c>
      <c r="P33" s="642">
        <v>470</v>
      </c>
      <c r="Q33" s="642"/>
      <c r="R33" s="642"/>
      <c r="S33" s="649">
        <v>1.5</v>
      </c>
      <c r="T33" s="650"/>
      <c r="U33" s="650"/>
      <c r="V33" s="650"/>
      <c r="W33" s="650"/>
      <c r="X33" s="650"/>
      <c r="Y33" s="650"/>
    </row>
    <row r="34" spans="1:25" x14ac:dyDescent="0.2">
      <c r="A34" s="642" t="s">
        <v>134</v>
      </c>
      <c r="B34" s="642"/>
      <c r="C34" s="642"/>
      <c r="D34" s="642"/>
      <c r="E34" s="642"/>
      <c r="F34" s="642"/>
      <c r="G34" s="642"/>
      <c r="H34" s="642"/>
      <c r="I34" s="642"/>
      <c r="J34" s="642"/>
      <c r="K34" s="642"/>
      <c r="L34" s="642"/>
      <c r="M34" s="642"/>
      <c r="N34" s="642">
        <v>6</v>
      </c>
      <c r="O34" s="642">
        <v>69</v>
      </c>
      <c r="P34" s="642">
        <v>150</v>
      </c>
      <c r="Q34" s="642"/>
      <c r="R34" s="642">
        <v>10</v>
      </c>
      <c r="S34" s="649">
        <v>1</v>
      </c>
      <c r="T34" s="650"/>
      <c r="U34" s="650"/>
      <c r="V34" s="650"/>
      <c r="W34" s="650"/>
      <c r="X34" s="650"/>
      <c r="Y34" s="650"/>
    </row>
    <row r="35" spans="1:25" x14ac:dyDescent="0.2">
      <c r="A35" s="642" t="s">
        <v>524</v>
      </c>
      <c r="B35" s="642">
        <v>2</v>
      </c>
      <c r="C35" s="642"/>
      <c r="D35" s="642"/>
      <c r="E35" s="642">
        <v>-2</v>
      </c>
      <c r="F35" s="642">
        <v>-2</v>
      </c>
      <c r="G35" s="642">
        <v>1</v>
      </c>
      <c r="H35" s="642">
        <v>2</v>
      </c>
      <c r="I35" s="642"/>
      <c r="J35" s="642">
        <v>-4</v>
      </c>
      <c r="K35" s="642"/>
      <c r="L35" s="642"/>
      <c r="M35" s="642">
        <v>1</v>
      </c>
      <c r="N35" s="642">
        <v>5</v>
      </c>
      <c r="O35" s="642">
        <v>65</v>
      </c>
      <c r="P35" s="642">
        <v>165</v>
      </c>
      <c r="Q35" s="642"/>
      <c r="R35" s="642"/>
      <c r="S35" s="649">
        <v>1.1000000000000001</v>
      </c>
      <c r="T35" s="650"/>
      <c r="U35" s="650"/>
      <c r="V35" s="650"/>
      <c r="W35" s="650"/>
      <c r="X35" s="650">
        <v>0.25</v>
      </c>
      <c r="Y35" s="650">
        <v>0.25</v>
      </c>
    </row>
    <row r="36" spans="1:25" x14ac:dyDescent="0.2">
      <c r="A36" s="642" t="s">
        <v>1598</v>
      </c>
      <c r="B36" s="642"/>
      <c r="C36" s="642"/>
      <c r="D36" s="642"/>
      <c r="E36" s="642"/>
      <c r="F36" s="642"/>
      <c r="G36" s="642"/>
      <c r="H36" s="642"/>
      <c r="I36" s="642"/>
      <c r="J36" s="642">
        <v>1</v>
      </c>
      <c r="K36" s="642"/>
      <c r="L36" s="642">
        <v>5</v>
      </c>
      <c r="M36" s="642"/>
      <c r="N36" s="642">
        <v>6</v>
      </c>
      <c r="O36" s="642">
        <v>69</v>
      </c>
      <c r="P36" s="642">
        <v>150</v>
      </c>
      <c r="Q36" s="642"/>
      <c r="R36" s="642"/>
      <c r="S36" s="649">
        <v>1.4</v>
      </c>
      <c r="T36" s="650">
        <v>0.25</v>
      </c>
      <c r="U36" s="650"/>
      <c r="V36" s="650"/>
      <c r="W36" s="650"/>
      <c r="X36" s="650"/>
      <c r="Y36" s="650"/>
    </row>
    <row r="37" spans="1:25" x14ac:dyDescent="0.2">
      <c r="A37" s="607" t="s">
        <v>1601</v>
      </c>
      <c r="B37" s="607"/>
      <c r="C37" s="607"/>
      <c r="D37" s="607"/>
      <c r="E37" s="607"/>
      <c r="F37" s="607"/>
      <c r="G37" s="607"/>
      <c r="H37" s="607"/>
      <c r="I37" s="607"/>
      <c r="J37" s="607"/>
      <c r="K37" s="607"/>
      <c r="L37" s="607"/>
      <c r="M37" s="607"/>
      <c r="N37" s="607">
        <v>6</v>
      </c>
      <c r="O37" s="607">
        <v>69</v>
      </c>
      <c r="P37" s="607">
        <v>150</v>
      </c>
      <c r="Q37" s="607"/>
      <c r="R37" s="607"/>
      <c r="S37" s="627">
        <v>1</v>
      </c>
      <c r="T37" s="628"/>
      <c r="U37" s="628"/>
      <c r="V37" s="628"/>
      <c r="W37" s="628"/>
      <c r="X37" s="628"/>
      <c r="Y37" s="628"/>
    </row>
    <row r="38" spans="1:25" x14ac:dyDescent="0.2">
      <c r="A38" s="642"/>
      <c r="B38" s="642"/>
      <c r="C38" s="642"/>
      <c r="D38" s="642"/>
      <c r="E38" s="642"/>
      <c r="F38" s="642"/>
      <c r="G38" s="642"/>
      <c r="H38" s="642"/>
      <c r="I38" s="642"/>
      <c r="J38" s="642"/>
      <c r="K38" s="642"/>
      <c r="L38" s="642"/>
      <c r="M38" s="642"/>
      <c r="N38" s="642"/>
      <c r="O38" s="642"/>
      <c r="P38" s="642"/>
      <c r="Q38" s="642"/>
      <c r="R38" s="642"/>
      <c r="S38" s="642"/>
      <c r="T38" s="642"/>
      <c r="U38" s="642"/>
      <c r="V38" s="642"/>
      <c r="W38" s="642"/>
      <c r="X38" s="642"/>
      <c r="Y38" s="642"/>
    </row>
    <row r="39" spans="1:25" x14ac:dyDescent="0.2">
      <c r="A39" s="643" t="s">
        <v>1604</v>
      </c>
      <c r="B39" s="644" t="s">
        <v>109</v>
      </c>
      <c r="C39" s="645" t="s">
        <v>110</v>
      </c>
      <c r="D39" s="645" t="s">
        <v>111</v>
      </c>
      <c r="E39" s="645" t="s">
        <v>112</v>
      </c>
      <c r="F39" s="645" t="s">
        <v>113</v>
      </c>
      <c r="G39" s="645" t="s">
        <v>114</v>
      </c>
      <c r="H39" s="644" t="s">
        <v>124</v>
      </c>
      <c r="I39" s="645" t="s">
        <v>122</v>
      </c>
      <c r="J39" s="645" t="s">
        <v>127</v>
      </c>
      <c r="K39" s="645" t="s">
        <v>123</v>
      </c>
      <c r="L39" s="645" t="s">
        <v>121</v>
      </c>
      <c r="M39" s="645" t="s">
        <v>1602</v>
      </c>
      <c r="N39" s="645" t="s">
        <v>1600</v>
      </c>
      <c r="O39" s="642"/>
      <c r="P39" s="642"/>
      <c r="Q39" s="642"/>
      <c r="R39" s="642"/>
      <c r="S39" s="642"/>
      <c r="T39" s="642"/>
      <c r="U39" s="642"/>
      <c r="V39" s="642"/>
      <c r="W39" s="642"/>
      <c r="X39" s="642"/>
      <c r="Y39" s="642"/>
    </row>
    <row r="40" spans="1:25" x14ac:dyDescent="0.2">
      <c r="A40" s="642" t="s">
        <v>1605</v>
      </c>
      <c r="B40" s="642"/>
      <c r="C40" s="642"/>
      <c r="D40" s="642"/>
      <c r="E40" s="642"/>
      <c r="F40" s="642"/>
      <c r="G40" s="642"/>
      <c r="H40" s="642"/>
      <c r="I40" s="642"/>
      <c r="J40" s="642"/>
      <c r="K40" s="642"/>
      <c r="L40" s="642"/>
      <c r="M40" s="642"/>
      <c r="N40" s="642"/>
      <c r="O40" s="642">
        <v>1</v>
      </c>
      <c r="P40" s="642">
        <v>1</v>
      </c>
      <c r="Q40" s="642"/>
      <c r="R40" s="642"/>
      <c r="S40" s="642"/>
      <c r="T40" s="642"/>
      <c r="U40" s="642"/>
      <c r="V40" s="642"/>
      <c r="W40" s="642"/>
      <c r="X40" s="642"/>
      <c r="Y40" s="642"/>
    </row>
    <row r="41" spans="1:25" x14ac:dyDescent="0.2">
      <c r="A41" s="642" t="s">
        <v>1606</v>
      </c>
      <c r="B41" s="642">
        <v>-2</v>
      </c>
      <c r="C41" s="642">
        <v>1</v>
      </c>
      <c r="D41" s="642"/>
      <c r="E41" s="642"/>
      <c r="F41" s="642"/>
      <c r="G41" s="642">
        <v>1</v>
      </c>
      <c r="H41" s="642"/>
      <c r="I41" s="642"/>
      <c r="J41" s="642"/>
      <c r="K41" s="642"/>
      <c r="L41" s="642"/>
      <c r="M41" s="642"/>
      <c r="N41" s="642">
        <v>-0.5</v>
      </c>
      <c r="O41" s="642">
        <v>0.9</v>
      </c>
      <c r="P41" s="642">
        <v>0.9</v>
      </c>
      <c r="Q41" s="642"/>
      <c r="R41" s="642"/>
      <c r="S41" s="642"/>
      <c r="T41" s="642"/>
      <c r="U41" s="642"/>
      <c r="V41" s="642"/>
      <c r="W41" s="642"/>
      <c r="X41" s="642"/>
      <c r="Y41" s="642"/>
    </row>
    <row r="42" spans="1:25" x14ac:dyDescent="0.2">
      <c r="A42" s="607" t="s">
        <v>1601</v>
      </c>
      <c r="B42" s="607"/>
      <c r="C42" s="607"/>
      <c r="D42" s="607"/>
      <c r="E42" s="607"/>
      <c r="F42" s="607"/>
      <c r="G42" s="607"/>
      <c r="H42" s="607"/>
      <c r="I42" s="607"/>
      <c r="J42" s="607"/>
      <c r="K42" s="607"/>
      <c r="L42" s="607"/>
      <c r="M42" s="607"/>
      <c r="N42" s="607"/>
      <c r="O42" s="607">
        <v>1</v>
      </c>
      <c r="P42" s="607">
        <v>1</v>
      </c>
      <c r="Q42" s="642"/>
      <c r="R42" s="642"/>
      <c r="S42" s="642"/>
      <c r="T42" s="642"/>
      <c r="U42" s="642"/>
      <c r="V42" s="642"/>
      <c r="W42" s="642"/>
      <c r="X42" s="642"/>
      <c r="Y42" s="642"/>
    </row>
    <row r="43" spans="1:25" x14ac:dyDescent="0.2">
      <c r="A43" s="642"/>
      <c r="B43" s="642"/>
      <c r="C43" s="642"/>
      <c r="D43" s="642"/>
      <c r="E43" s="642"/>
      <c r="F43" s="642"/>
      <c r="G43" s="642"/>
      <c r="H43" s="642"/>
      <c r="I43" s="642"/>
      <c r="J43" s="642"/>
      <c r="K43" s="642"/>
      <c r="L43" s="642"/>
      <c r="M43" s="642"/>
      <c r="N43" s="642"/>
      <c r="O43" s="642"/>
      <c r="P43" s="642"/>
      <c r="Q43" s="642"/>
      <c r="R43" s="642"/>
      <c r="S43" s="642"/>
      <c r="T43" s="642"/>
      <c r="U43" s="642"/>
      <c r="V43" s="642"/>
      <c r="W43" s="642"/>
      <c r="X43" s="642"/>
      <c r="Y43" s="642"/>
    </row>
    <row r="44" spans="1:25" x14ac:dyDescent="0.2">
      <c r="A44" s="643" t="s">
        <v>193</v>
      </c>
      <c r="B44" s="642"/>
      <c r="C44" s="642"/>
      <c r="D44" s="651" t="s">
        <v>133</v>
      </c>
      <c r="E44" s="642" t="s">
        <v>1692</v>
      </c>
      <c r="F44" s="642"/>
      <c r="G44" s="642"/>
      <c r="H44" s="642" t="s">
        <v>1636</v>
      </c>
      <c r="I44" s="643" t="s">
        <v>1637</v>
      </c>
      <c r="J44" s="642"/>
      <c r="K44" s="642"/>
      <c r="L44" s="642"/>
      <c r="M44" s="642"/>
      <c r="N44" s="651" t="s">
        <v>1624</v>
      </c>
      <c r="O44" s="642" t="s">
        <v>1625</v>
      </c>
      <c r="P44" s="642" t="s">
        <v>1626</v>
      </c>
      <c r="Q44" s="642"/>
      <c r="R44" s="642" t="s">
        <v>1636</v>
      </c>
      <c r="S44" s="643" t="s">
        <v>197</v>
      </c>
      <c r="T44" s="642"/>
      <c r="U44" s="652" t="s">
        <v>1636</v>
      </c>
      <c r="V44" s="643" t="s">
        <v>1730</v>
      </c>
      <c r="W44" s="642"/>
      <c r="X44" s="642"/>
      <c r="Y44" s="642"/>
    </row>
    <row r="45" spans="1:25" x14ac:dyDescent="0.2">
      <c r="A45" s="642" t="s">
        <v>1726</v>
      </c>
      <c r="B45" s="642"/>
      <c r="C45" s="642"/>
      <c r="D45" s="653"/>
      <c r="E45" s="642">
        <v>0</v>
      </c>
      <c r="F45" s="642"/>
      <c r="G45" s="642"/>
      <c r="H45" s="654" t="s">
        <v>1275</v>
      </c>
      <c r="I45" s="642" t="s">
        <v>1638</v>
      </c>
      <c r="J45" s="642"/>
      <c r="K45" s="642"/>
      <c r="L45" s="642"/>
      <c r="M45" s="642"/>
      <c r="N45" s="642" t="s">
        <v>1622</v>
      </c>
      <c r="O45" s="642">
        <v>0.88800000000000001</v>
      </c>
      <c r="P45" s="642">
        <v>0.79</v>
      </c>
      <c r="Q45" s="642"/>
      <c r="R45" s="654" t="s">
        <v>1693</v>
      </c>
      <c r="S45" s="642" t="s">
        <v>1694</v>
      </c>
      <c r="T45" s="642"/>
      <c r="U45" s="652">
        <v>1</v>
      </c>
      <c r="V45" s="642" t="s">
        <v>1731</v>
      </c>
      <c r="W45" s="642"/>
      <c r="X45" s="642"/>
      <c r="Y45" s="642"/>
    </row>
    <row r="46" spans="1:25" x14ac:dyDescent="0.2">
      <c r="A46" s="642" t="s">
        <v>1727</v>
      </c>
      <c r="B46" s="642"/>
      <c r="C46" s="642"/>
      <c r="D46" s="653" t="s">
        <v>1634</v>
      </c>
      <c r="E46" s="642">
        <v>16</v>
      </c>
      <c r="F46" s="642"/>
      <c r="G46" s="642"/>
      <c r="H46" s="654" t="s">
        <v>1639</v>
      </c>
      <c r="I46" s="642" t="s">
        <v>1640</v>
      </c>
      <c r="J46" s="642"/>
      <c r="K46" s="642"/>
      <c r="L46" s="642"/>
      <c r="M46" s="642"/>
      <c r="N46" s="642" t="s">
        <v>1619</v>
      </c>
      <c r="O46" s="642">
        <v>0.90400000000000003</v>
      </c>
      <c r="P46" s="642">
        <v>0.82000000000000006</v>
      </c>
      <c r="Q46" s="642"/>
      <c r="R46" s="654" t="s">
        <v>1695</v>
      </c>
      <c r="S46" s="642" t="s">
        <v>1696</v>
      </c>
      <c r="T46" s="642"/>
      <c r="U46" s="652" t="s">
        <v>1732</v>
      </c>
      <c r="V46" s="642" t="s">
        <v>889</v>
      </c>
      <c r="W46" s="642"/>
      <c r="X46" s="642"/>
      <c r="Y46" s="642"/>
    </row>
    <row r="47" spans="1:25" x14ac:dyDescent="0.2">
      <c r="A47" s="642" t="s">
        <v>1728</v>
      </c>
      <c r="B47" s="642"/>
      <c r="C47" s="642"/>
      <c r="D47" s="653" t="s">
        <v>1635</v>
      </c>
      <c r="E47" s="642">
        <v>17</v>
      </c>
      <c r="F47" s="642"/>
      <c r="G47" s="642"/>
      <c r="H47" s="654" t="s">
        <v>1641</v>
      </c>
      <c r="I47" s="642" t="s">
        <v>1642</v>
      </c>
      <c r="J47" s="642"/>
      <c r="K47" s="642"/>
      <c r="L47" s="642"/>
      <c r="M47" s="642"/>
      <c r="N47" s="642" t="s">
        <v>1618</v>
      </c>
      <c r="O47" s="642">
        <v>0.92</v>
      </c>
      <c r="P47" s="642">
        <v>0.85</v>
      </c>
      <c r="Q47" s="642"/>
      <c r="R47" s="654" t="s">
        <v>1697</v>
      </c>
      <c r="S47" s="642" t="s">
        <v>1698</v>
      </c>
      <c r="T47" s="642"/>
      <c r="U47" s="652">
        <v>4</v>
      </c>
      <c r="V47" s="642" t="s">
        <v>1733</v>
      </c>
      <c r="W47" s="642"/>
      <c r="X47" s="642"/>
      <c r="Y47" s="642"/>
    </row>
    <row r="48" spans="1:25" x14ac:dyDescent="0.2">
      <c r="A48" s="607" t="s">
        <v>1601</v>
      </c>
      <c r="B48" s="642"/>
      <c r="C48" s="642"/>
      <c r="D48" s="653" t="s">
        <v>1675</v>
      </c>
      <c r="E48" s="642">
        <v>16</v>
      </c>
      <c r="F48" s="642"/>
      <c r="G48" s="642"/>
      <c r="H48" s="654" t="s">
        <v>1643</v>
      </c>
      <c r="I48" s="642" t="s">
        <v>1644</v>
      </c>
      <c r="J48" s="642"/>
      <c r="K48" s="642"/>
      <c r="L48" s="642"/>
      <c r="M48" s="642"/>
      <c r="N48" s="642" t="s">
        <v>1610</v>
      </c>
      <c r="O48" s="642">
        <v>0.93599999999999994</v>
      </c>
      <c r="P48" s="642">
        <v>0.88</v>
      </c>
      <c r="Q48" s="642"/>
      <c r="R48" s="654" t="s">
        <v>1699</v>
      </c>
      <c r="S48" s="642" t="s">
        <v>1700</v>
      </c>
      <c r="T48" s="642"/>
      <c r="U48" s="652">
        <v>5</v>
      </c>
      <c r="V48" s="642" t="s">
        <v>1734</v>
      </c>
      <c r="W48" s="642"/>
      <c r="X48" s="642"/>
      <c r="Y48" s="642"/>
    </row>
    <row r="49" spans="1:25" x14ac:dyDescent="0.2">
      <c r="A49" s="642"/>
      <c r="B49" s="642"/>
      <c r="C49" s="642"/>
      <c r="D49" s="653" t="s">
        <v>1676</v>
      </c>
      <c r="E49" s="642">
        <v>13</v>
      </c>
      <c r="F49" s="642"/>
      <c r="G49" s="642"/>
      <c r="H49" s="654" t="s">
        <v>1305</v>
      </c>
      <c r="I49" s="642" t="s">
        <v>1645</v>
      </c>
      <c r="J49" s="642"/>
      <c r="K49" s="642"/>
      <c r="L49" s="642"/>
      <c r="M49" s="642"/>
      <c r="N49" s="642" t="s">
        <v>1611</v>
      </c>
      <c r="O49" s="642">
        <v>0.95199999999999996</v>
      </c>
      <c r="P49" s="642">
        <v>0.91</v>
      </c>
      <c r="Q49" s="642"/>
      <c r="R49" s="654" t="s">
        <v>1701</v>
      </c>
      <c r="S49" s="642" t="s">
        <v>1702</v>
      </c>
      <c r="T49" s="642"/>
      <c r="U49" s="652">
        <v>6</v>
      </c>
      <c r="V49" s="642" t="s">
        <v>1735</v>
      </c>
      <c r="W49" s="642"/>
      <c r="X49" s="642"/>
      <c r="Y49" s="642"/>
    </row>
    <row r="50" spans="1:25" x14ac:dyDescent="0.2">
      <c r="A50" s="642"/>
      <c r="B50" s="642"/>
      <c r="C50" s="642"/>
      <c r="D50" s="653" t="s">
        <v>1677</v>
      </c>
      <c r="E50" s="642">
        <v>11</v>
      </c>
      <c r="F50" s="642"/>
      <c r="G50" s="642"/>
      <c r="H50" s="654" t="s">
        <v>1646</v>
      </c>
      <c r="I50" s="642" t="s">
        <v>1647</v>
      </c>
      <c r="J50" s="642"/>
      <c r="K50" s="642"/>
      <c r="L50" s="642"/>
      <c r="M50" s="642"/>
      <c r="N50" s="642" t="s">
        <v>1612</v>
      </c>
      <c r="O50" s="642">
        <v>0.96799999999999997</v>
      </c>
      <c r="P50" s="642">
        <v>0.94</v>
      </c>
      <c r="Q50" s="642"/>
      <c r="R50" s="654" t="s">
        <v>1703</v>
      </c>
      <c r="S50" s="642" t="s">
        <v>1704</v>
      </c>
      <c r="T50" s="642"/>
      <c r="U50" s="652" t="s">
        <v>1736</v>
      </c>
      <c r="V50" s="642" t="s">
        <v>1737</v>
      </c>
      <c r="W50" s="642"/>
      <c r="X50" s="642"/>
      <c r="Y50" s="642"/>
    </row>
    <row r="51" spans="1:25" x14ac:dyDescent="0.2">
      <c r="A51" s="642"/>
      <c r="B51" s="642"/>
      <c r="C51" s="642"/>
      <c r="D51" s="653" t="s">
        <v>1678</v>
      </c>
      <c r="E51" s="642">
        <v>1</v>
      </c>
      <c r="F51" s="642"/>
      <c r="G51" s="642"/>
      <c r="H51" s="654" t="s">
        <v>1648</v>
      </c>
      <c r="I51" s="642" t="s">
        <v>1649</v>
      </c>
      <c r="J51" s="642"/>
      <c r="K51" s="642"/>
      <c r="L51" s="642"/>
      <c r="M51" s="642"/>
      <c r="N51" s="642" t="s">
        <v>1620</v>
      </c>
      <c r="O51" s="642">
        <v>0.98399999999999999</v>
      </c>
      <c r="P51" s="642">
        <v>0.97</v>
      </c>
      <c r="Q51" s="642"/>
      <c r="R51" s="654" t="s">
        <v>1705</v>
      </c>
      <c r="S51" s="642" t="s">
        <v>1706</v>
      </c>
      <c r="T51" s="642"/>
      <c r="U51" s="652">
        <v>9</v>
      </c>
      <c r="V51" s="642" t="s">
        <v>1738</v>
      </c>
      <c r="W51" s="642"/>
      <c r="X51" s="642"/>
      <c r="Y51" s="642"/>
    </row>
    <row r="52" spans="1:25" x14ac:dyDescent="0.2">
      <c r="A52" s="642"/>
      <c r="B52" s="642"/>
      <c r="C52" s="642"/>
      <c r="D52" s="653" t="s">
        <v>1679</v>
      </c>
      <c r="E52" s="642">
        <v>13</v>
      </c>
      <c r="F52" s="642"/>
      <c r="G52" s="642"/>
      <c r="H52" s="654" t="s">
        <v>1650</v>
      </c>
      <c r="I52" s="642" t="s">
        <v>1651</v>
      </c>
      <c r="J52" s="642"/>
      <c r="K52" s="642"/>
      <c r="L52" s="642"/>
      <c r="M52" s="642"/>
      <c r="N52" s="642" t="s">
        <v>18</v>
      </c>
      <c r="O52" s="642">
        <v>1</v>
      </c>
      <c r="P52" s="642">
        <v>1</v>
      </c>
      <c r="Q52" s="642"/>
      <c r="R52" s="642" t="s">
        <v>1707</v>
      </c>
      <c r="S52" s="642" t="s">
        <v>1708</v>
      </c>
      <c r="T52" s="642"/>
      <c r="U52" s="652">
        <v>0</v>
      </c>
      <c r="V52" s="642" t="s">
        <v>1739</v>
      </c>
      <c r="W52" s="642"/>
      <c r="X52" s="642"/>
      <c r="Y52" s="642"/>
    </row>
    <row r="53" spans="1:25" x14ac:dyDescent="0.2">
      <c r="A53" s="642"/>
      <c r="B53" s="642"/>
      <c r="C53" s="642"/>
      <c r="D53" s="653" t="s">
        <v>1683</v>
      </c>
      <c r="E53" s="642">
        <v>14</v>
      </c>
      <c r="F53" s="642"/>
      <c r="G53" s="642"/>
      <c r="H53" s="654" t="s">
        <v>1652</v>
      </c>
      <c r="I53" s="642" t="s">
        <v>1653</v>
      </c>
      <c r="J53" s="642"/>
      <c r="K53" s="642"/>
      <c r="L53" s="642"/>
      <c r="M53" s="642"/>
      <c r="N53" s="642" t="s">
        <v>1621</v>
      </c>
      <c r="O53" s="642">
        <v>1.016</v>
      </c>
      <c r="P53" s="642">
        <v>1.0375000000000001</v>
      </c>
      <c r="Q53" s="642"/>
      <c r="R53" s="642" t="s">
        <v>1709</v>
      </c>
      <c r="S53" s="642" t="s">
        <v>1710</v>
      </c>
      <c r="T53" s="642"/>
      <c r="U53" s="642"/>
      <c r="V53" s="607" t="s">
        <v>1601</v>
      </c>
      <c r="W53" s="642"/>
      <c r="X53" s="642"/>
      <c r="Y53" s="642"/>
    </row>
    <row r="54" spans="1:25" x14ac:dyDescent="0.2">
      <c r="A54" s="642"/>
      <c r="B54" s="642"/>
      <c r="C54" s="642"/>
      <c r="D54" s="653" t="s">
        <v>1685</v>
      </c>
      <c r="E54" s="642">
        <v>14</v>
      </c>
      <c r="F54" s="642"/>
      <c r="G54" s="642"/>
      <c r="H54" s="654" t="s">
        <v>1654</v>
      </c>
      <c r="I54" s="642" t="s">
        <v>1655</v>
      </c>
      <c r="J54" s="642"/>
      <c r="K54" s="642"/>
      <c r="L54" s="642"/>
      <c r="M54" s="642"/>
      <c r="N54" s="642" t="s">
        <v>1613</v>
      </c>
      <c r="O54" s="642">
        <v>1.032</v>
      </c>
      <c r="P54" s="642">
        <v>1.075</v>
      </c>
      <c r="Q54" s="642"/>
      <c r="R54" s="642" t="s">
        <v>1711</v>
      </c>
      <c r="S54" s="642" t="s">
        <v>1712</v>
      </c>
      <c r="T54" s="642"/>
      <c r="U54" s="642"/>
      <c r="V54" s="642"/>
      <c r="W54" s="642"/>
      <c r="X54" s="642"/>
      <c r="Y54" s="642"/>
    </row>
    <row r="55" spans="1:25" x14ac:dyDescent="0.2">
      <c r="A55" s="642"/>
      <c r="B55" s="642"/>
      <c r="C55" s="642"/>
      <c r="D55" s="653" t="s">
        <v>1684</v>
      </c>
      <c r="E55" s="642">
        <v>14</v>
      </c>
      <c r="F55" s="642"/>
      <c r="G55" s="642"/>
      <c r="H55" s="654" t="s">
        <v>1656</v>
      </c>
      <c r="I55" s="642" t="s">
        <v>1657</v>
      </c>
      <c r="J55" s="642"/>
      <c r="K55" s="642"/>
      <c r="L55" s="642"/>
      <c r="M55" s="642"/>
      <c r="N55" s="642" t="s">
        <v>1614</v>
      </c>
      <c r="O55" s="642">
        <v>1.048</v>
      </c>
      <c r="P55" s="642">
        <v>1.1200000000000001</v>
      </c>
      <c r="Q55" s="642"/>
      <c r="R55" s="642" t="s">
        <v>1713</v>
      </c>
      <c r="S55" s="642" t="s">
        <v>888</v>
      </c>
      <c r="T55" s="642"/>
      <c r="U55" s="642"/>
      <c r="V55" s="642"/>
      <c r="W55" s="642"/>
      <c r="X55" s="642"/>
      <c r="Y55" s="642"/>
    </row>
    <row r="56" spans="1:25" x14ac:dyDescent="0.2">
      <c r="A56" s="642"/>
      <c r="B56" s="642"/>
      <c r="C56" s="642"/>
      <c r="D56" s="653" t="s">
        <v>1680</v>
      </c>
      <c r="E56" s="642">
        <v>14</v>
      </c>
      <c r="F56" s="642"/>
      <c r="G56" s="642"/>
      <c r="H56" s="654" t="s">
        <v>1658</v>
      </c>
      <c r="I56" s="642" t="s">
        <v>1659</v>
      </c>
      <c r="J56" s="642"/>
      <c r="K56" s="642"/>
      <c r="L56" s="642"/>
      <c r="M56" s="642"/>
      <c r="N56" s="642" t="s">
        <v>1615</v>
      </c>
      <c r="O56" s="642">
        <v>1.0640000000000001</v>
      </c>
      <c r="P56" s="642">
        <v>1.165</v>
      </c>
      <c r="Q56" s="642"/>
      <c r="R56" s="642"/>
      <c r="S56" s="607" t="s">
        <v>1601</v>
      </c>
      <c r="T56" s="642"/>
      <c r="U56" s="642"/>
      <c r="V56" s="642"/>
      <c r="W56" s="642"/>
      <c r="X56" s="642"/>
      <c r="Y56" s="642"/>
    </row>
    <row r="57" spans="1:25" x14ac:dyDescent="0.2">
      <c r="A57" s="642"/>
      <c r="B57" s="642"/>
      <c r="C57" s="642"/>
      <c r="D57" s="653" t="s">
        <v>1681</v>
      </c>
      <c r="E57" s="642">
        <v>15</v>
      </c>
      <c r="F57" s="642"/>
      <c r="G57" s="642"/>
      <c r="H57" s="654" t="s">
        <v>1660</v>
      </c>
      <c r="I57" s="642" t="s">
        <v>1661</v>
      </c>
      <c r="J57" s="642"/>
      <c r="K57" s="642"/>
      <c r="L57" s="642"/>
      <c r="M57" s="642"/>
      <c r="N57" s="642" t="s">
        <v>1616</v>
      </c>
      <c r="O57" s="642">
        <v>1.08</v>
      </c>
      <c r="P57" s="642">
        <v>1.21</v>
      </c>
      <c r="Q57" s="642"/>
      <c r="R57" s="642"/>
      <c r="S57" s="642"/>
      <c r="T57" s="642"/>
      <c r="U57" s="642"/>
      <c r="V57" s="642"/>
      <c r="W57" s="642"/>
      <c r="X57" s="642"/>
      <c r="Y57" s="642"/>
    </row>
    <row r="58" spans="1:25" x14ac:dyDescent="0.2">
      <c r="A58" s="642"/>
      <c r="B58" s="642"/>
      <c r="C58" s="642"/>
      <c r="D58" s="653" t="s">
        <v>1682</v>
      </c>
      <c r="E58" s="642">
        <v>15</v>
      </c>
      <c r="F58" s="642"/>
      <c r="G58" s="642"/>
      <c r="H58" s="654" t="s">
        <v>1662</v>
      </c>
      <c r="I58" s="642" t="s">
        <v>1663</v>
      </c>
      <c r="J58" s="642"/>
      <c r="K58" s="642"/>
      <c r="L58" s="642"/>
      <c r="M58" s="642"/>
      <c r="N58" s="642" t="s">
        <v>1617</v>
      </c>
      <c r="O58" s="642">
        <v>1.0960000000000001</v>
      </c>
      <c r="P58" s="642">
        <v>1.27</v>
      </c>
      <c r="Q58" s="642"/>
      <c r="R58" s="642"/>
      <c r="S58" s="642"/>
      <c r="T58" s="642"/>
      <c r="U58" s="642"/>
      <c r="V58" s="642"/>
      <c r="W58" s="642"/>
      <c r="X58" s="642"/>
      <c r="Y58" s="642"/>
    </row>
    <row r="59" spans="1:25" x14ac:dyDescent="0.2">
      <c r="A59" s="642"/>
      <c r="B59" s="642"/>
      <c r="C59" s="642"/>
      <c r="D59" s="653" t="s">
        <v>1686</v>
      </c>
      <c r="E59" s="642">
        <v>12</v>
      </c>
      <c r="F59" s="642"/>
      <c r="G59" s="642"/>
      <c r="H59" s="654" t="s">
        <v>1664</v>
      </c>
      <c r="I59" s="642" t="s">
        <v>1665</v>
      </c>
      <c r="J59" s="642"/>
      <c r="K59" s="642"/>
      <c r="L59" s="642"/>
      <c r="M59" s="642"/>
      <c r="N59" s="642" t="s">
        <v>1623</v>
      </c>
      <c r="O59" s="642">
        <v>1.1120000000000001</v>
      </c>
      <c r="P59" s="642">
        <v>1.33</v>
      </c>
      <c r="Q59" s="642"/>
      <c r="R59" s="642"/>
      <c r="S59" s="642"/>
      <c r="T59" s="642"/>
      <c r="U59" s="642"/>
      <c r="V59" s="642"/>
      <c r="W59" s="642"/>
      <c r="X59" s="642"/>
      <c r="Y59" s="642"/>
    </row>
    <row r="60" spans="1:25" x14ac:dyDescent="0.2">
      <c r="A60" s="642"/>
      <c r="B60" s="642"/>
      <c r="C60" s="642"/>
      <c r="D60" s="653" t="s">
        <v>1687</v>
      </c>
      <c r="E60" s="642">
        <v>13</v>
      </c>
      <c r="F60" s="642"/>
      <c r="G60" s="642"/>
      <c r="H60" s="654" t="s">
        <v>1666</v>
      </c>
      <c r="I60" s="642" t="s">
        <v>1667</v>
      </c>
      <c r="J60" s="642"/>
      <c r="K60" s="642"/>
      <c r="L60" s="642"/>
      <c r="M60" s="642"/>
      <c r="N60" s="642"/>
      <c r="O60" s="642"/>
      <c r="P60" s="642"/>
      <c r="Q60" s="642"/>
      <c r="R60" s="642"/>
      <c r="S60" s="642"/>
      <c r="T60" s="642"/>
      <c r="U60" s="642"/>
      <c r="V60" s="642"/>
      <c r="W60" s="642"/>
      <c r="X60" s="642"/>
      <c r="Y60" s="642"/>
    </row>
    <row r="61" spans="1:25" x14ac:dyDescent="0.2">
      <c r="A61" s="642"/>
      <c r="B61" s="642"/>
      <c r="C61" s="642"/>
      <c r="D61" s="653" t="s">
        <v>1688</v>
      </c>
      <c r="E61" s="642">
        <v>18</v>
      </c>
      <c r="F61" s="642"/>
      <c r="G61" s="642"/>
      <c r="H61" s="642" t="s">
        <v>1668</v>
      </c>
      <c r="I61" s="642" t="s">
        <v>1443</v>
      </c>
      <c r="J61" s="642"/>
      <c r="K61" s="642"/>
      <c r="L61" s="642"/>
      <c r="M61" s="642"/>
      <c r="N61" s="642"/>
      <c r="O61" s="642"/>
      <c r="P61" s="642"/>
      <c r="Q61" s="642"/>
      <c r="R61" s="642"/>
      <c r="S61" s="642"/>
      <c r="T61" s="642"/>
      <c r="U61" s="642"/>
      <c r="V61" s="642"/>
      <c r="W61" s="642"/>
      <c r="X61" s="642"/>
      <c r="Y61" s="642"/>
    </row>
    <row r="62" spans="1:25" x14ac:dyDescent="0.2">
      <c r="A62" s="642"/>
      <c r="B62" s="642"/>
      <c r="C62" s="642"/>
      <c r="D62" s="653" t="s">
        <v>1689</v>
      </c>
      <c r="E62" s="642">
        <v>16</v>
      </c>
      <c r="F62" s="642"/>
      <c r="G62" s="642"/>
      <c r="H62" s="642" t="s">
        <v>1669</v>
      </c>
      <c r="I62" s="642" t="s">
        <v>1670</v>
      </c>
      <c r="J62" s="642"/>
      <c r="K62" s="642"/>
      <c r="L62" s="642"/>
      <c r="M62" s="642"/>
      <c r="N62" s="642"/>
      <c r="O62" s="642"/>
      <c r="P62" s="642"/>
      <c r="Q62" s="642"/>
      <c r="R62" s="642"/>
      <c r="S62" s="642"/>
      <c r="T62" s="642"/>
      <c r="U62" s="642"/>
      <c r="V62" s="642"/>
      <c r="W62" s="642"/>
      <c r="X62" s="642"/>
      <c r="Y62" s="642"/>
    </row>
    <row r="63" spans="1:25" x14ac:dyDescent="0.2">
      <c r="A63" s="642"/>
      <c r="B63" s="642"/>
      <c r="C63" s="642"/>
      <c r="D63" s="653" t="s">
        <v>1690</v>
      </c>
      <c r="E63" s="642">
        <v>14</v>
      </c>
      <c r="F63" s="642"/>
      <c r="G63" s="642"/>
      <c r="H63" s="642" t="s">
        <v>1671</v>
      </c>
      <c r="I63" s="642" t="s">
        <v>1672</v>
      </c>
      <c r="J63" s="642"/>
      <c r="K63" s="642"/>
      <c r="L63" s="642"/>
      <c r="M63" s="642"/>
      <c r="N63" s="642"/>
      <c r="O63" s="642"/>
      <c r="P63" s="642"/>
      <c r="Q63" s="642"/>
      <c r="R63" s="642"/>
      <c r="S63" s="642"/>
      <c r="T63" s="642"/>
      <c r="U63" s="642"/>
      <c r="V63" s="642"/>
      <c r="W63" s="642"/>
      <c r="X63" s="642"/>
      <c r="Y63" s="642"/>
    </row>
    <row r="64" spans="1:25" x14ac:dyDescent="0.2">
      <c r="A64" s="642"/>
      <c r="B64" s="642"/>
      <c r="C64" s="642"/>
      <c r="D64" s="653" t="s">
        <v>1691</v>
      </c>
      <c r="E64" s="642">
        <v>18</v>
      </c>
      <c r="F64" s="642"/>
      <c r="G64" s="642"/>
      <c r="H64" s="642" t="s">
        <v>1673</v>
      </c>
      <c r="I64" s="642" t="s">
        <v>1674</v>
      </c>
      <c r="J64" s="642"/>
      <c r="K64" s="642"/>
      <c r="L64" s="642"/>
      <c r="M64" s="642"/>
      <c r="N64" s="642"/>
      <c r="O64" s="642"/>
      <c r="P64" s="642"/>
      <c r="Q64" s="642"/>
      <c r="R64" s="642"/>
      <c r="S64" s="642"/>
      <c r="T64" s="642"/>
      <c r="U64" s="642"/>
      <c r="V64" s="642"/>
      <c r="W64" s="642"/>
      <c r="X64" s="642"/>
      <c r="Y64" s="642"/>
    </row>
    <row r="65" spans="1:25" x14ac:dyDescent="0.2">
      <c r="A65" s="642"/>
      <c r="B65" s="642"/>
      <c r="C65" s="642"/>
      <c r="D65" s="621" t="s">
        <v>1601</v>
      </c>
      <c r="E65" s="642"/>
      <c r="F65" s="642"/>
      <c r="G65" s="642"/>
      <c r="H65" s="642"/>
      <c r="I65" s="607" t="s">
        <v>1601</v>
      </c>
      <c r="J65" s="642"/>
      <c r="K65" s="642"/>
      <c r="L65" s="642"/>
      <c r="M65" s="642"/>
      <c r="N65" s="642"/>
      <c r="O65" s="642"/>
      <c r="P65" s="642"/>
      <c r="Q65" s="642"/>
      <c r="R65" s="642"/>
      <c r="S65" s="642"/>
      <c r="T65" s="642"/>
      <c r="U65" s="642"/>
      <c r="V65" s="642"/>
      <c r="W65" s="642"/>
      <c r="X65" s="642"/>
      <c r="Y65" s="642"/>
    </row>
  </sheetData>
  <mergeCells count="6">
    <mergeCell ref="B3:E3"/>
    <mergeCell ref="B5:C5"/>
    <mergeCell ref="B9:E9"/>
    <mergeCell ref="B4:E4"/>
    <mergeCell ref="B10:E10"/>
    <mergeCell ref="B6:C6"/>
  </mergeCells>
  <phoneticPr fontId="3" type="noConversion"/>
  <dataValidations count="8">
    <dataValidation type="list" allowBlank="1" showInputMessage="1" showErrorMessage="1" sqref="B3" xr:uid="{E5D9F729-BE02-4A1B-B133-25150A6A8CC6}">
      <formula1>$A$30:$A$37</formula1>
    </dataValidation>
    <dataValidation type="list" allowBlank="1" showInputMessage="1" showErrorMessage="1" sqref="B5:C5" xr:uid="{DEE1440D-100C-47AD-AD53-6C6725A5BDE2}">
      <formula1>$A$40:$A$42</formula1>
    </dataValidation>
    <dataValidation type="list" allowBlank="1" showInputMessage="1" showErrorMessage="1" sqref="G7:G8" xr:uid="{8B31BF93-5109-4F05-9AC2-C11B691B5C97}">
      <formula1>$N$45:$N$59</formula1>
    </dataValidation>
    <dataValidation type="list" allowBlank="1" showInputMessage="1" showErrorMessage="1" sqref="B9" xr:uid="{D3231DB3-CE44-4121-BD20-809A1C18F463}">
      <formula1>$I$45:$I$65</formula1>
    </dataValidation>
    <dataValidation type="list" allowBlank="1" showInputMessage="1" showErrorMessage="1" sqref="B4" xr:uid="{34CBA04B-5DC9-44DA-A035-B33D81FA1897}">
      <formula1>$D$45:$D$65</formula1>
    </dataValidation>
    <dataValidation type="list" allowBlank="1" showInputMessage="1" showErrorMessage="1" sqref="B10:E10" xr:uid="{DAADB249-6292-4184-9A5C-5F15392914F7}">
      <formula1>$S$45:$S$56</formula1>
    </dataValidation>
    <dataValidation type="list" allowBlank="1" showInputMessage="1" showErrorMessage="1" sqref="B6:C6" xr:uid="{3FDCD8CC-6665-400C-856C-FC2B67C635D0}">
      <formula1>$A$45:$A$48</formula1>
    </dataValidation>
    <dataValidation type="list" allowBlank="1" showInputMessage="1" showErrorMessage="1" sqref="B11" xr:uid="{C259278C-2F8D-46B8-B18D-8B2533427971}">
      <formula1>$V$45:$V$53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22"/>
  <sheetViews>
    <sheetView workbookViewId="0">
      <selection activeCell="D26" sqref="D26"/>
    </sheetView>
  </sheetViews>
  <sheetFormatPr defaultRowHeight="12.75" x14ac:dyDescent="0.2"/>
  <cols>
    <col min="1" max="1" width="17.5703125" customWidth="1"/>
    <col min="2" max="11" width="5.7109375" customWidth="1"/>
  </cols>
  <sheetData>
    <row r="1" spans="1:11" x14ac:dyDescent="0.2">
      <c r="A1" s="120"/>
      <c r="B1" s="121" t="s">
        <v>109</v>
      </c>
      <c r="C1" s="121" t="s">
        <v>110</v>
      </c>
      <c r="D1" s="121" t="s">
        <v>111</v>
      </c>
      <c r="E1" s="121" t="s">
        <v>112</v>
      </c>
      <c r="F1" s="121" t="s">
        <v>113</v>
      </c>
      <c r="G1" s="121" t="s">
        <v>114</v>
      </c>
      <c r="H1" s="121" t="s">
        <v>124</v>
      </c>
      <c r="I1" s="121" t="s">
        <v>122</v>
      </c>
      <c r="J1" s="121" t="s">
        <v>123</v>
      </c>
      <c r="K1" s="121" t="s">
        <v>127</v>
      </c>
    </row>
    <row r="2" spans="1:11" x14ac:dyDescent="0.2">
      <c r="A2" s="122" t="s">
        <v>115</v>
      </c>
      <c r="B2" s="613">
        <f>Setup!B20</f>
        <v>15</v>
      </c>
      <c r="C2" s="613">
        <f>Setup!C20</f>
        <v>15</v>
      </c>
      <c r="D2" s="613">
        <f>Setup!D20</f>
        <v>15</v>
      </c>
      <c r="E2" s="613">
        <f>Setup!E20</f>
        <v>15</v>
      </c>
      <c r="F2" s="613">
        <f>Setup!F20</f>
        <v>15</v>
      </c>
      <c r="G2" s="613">
        <f>Setup!G20</f>
        <v>15</v>
      </c>
      <c r="H2" s="613">
        <f>Setup!H20</f>
        <v>20</v>
      </c>
      <c r="I2" s="613">
        <f>Setup!I20</f>
        <v>5</v>
      </c>
      <c r="J2" s="111">
        <f ca="1">OFFSET(TmrEncumRef!B2,D2,0)</f>
        <v>5</v>
      </c>
      <c r="K2" s="613">
        <f>Setup!J20</f>
        <v>15</v>
      </c>
    </row>
    <row r="3" spans="1:11" s="6" customFormat="1" ht="20.25" customHeight="1" x14ac:dyDescent="0.2">
      <c r="A3" s="123" t="s">
        <v>116</v>
      </c>
      <c r="B3" s="124">
        <f>B2+Bonuses!$F$3</f>
        <v>15</v>
      </c>
      <c r="C3" s="124">
        <f>C2+Bonuses!$G$3</f>
        <v>13</v>
      </c>
      <c r="D3" s="124">
        <f>D2+Bonuses!$H$3 - HLOOKUP(Bonuses!$C$3,TmrEncumRef!$D$2:$BC$102,$B$3+1,1)</f>
        <v>11</v>
      </c>
      <c r="E3" s="124">
        <f>E2+Bonuses!$I$3</f>
        <v>15</v>
      </c>
      <c r="F3" s="124">
        <f>F2+Bonuses!$J$3</f>
        <v>15</v>
      </c>
      <c r="G3" s="124">
        <f>G2+Bonuses!$K$3</f>
        <v>15</v>
      </c>
      <c r="H3" s="124">
        <f>H2+Bonuses!$L$3</f>
        <v>20</v>
      </c>
      <c r="I3" s="124">
        <f>I2+Bonuses!$M$3</f>
        <v>5</v>
      </c>
      <c r="J3" s="124">
        <f ca="1">OFFSET(TmrEncumRef!B2,Stats!$D$3,0)+Bonuses!$N$3</f>
        <v>4</v>
      </c>
      <c r="K3" s="124">
        <f>K2+Bonuses!$O$3</f>
        <v>15</v>
      </c>
    </row>
    <row r="4" spans="1:11" x14ac:dyDescent="0.2">
      <c r="A4" s="122" t="s">
        <v>117</v>
      </c>
      <c r="B4" s="111">
        <f>MIN(B3*1+Bonuses!BW$3,70+B$3+LEFT($A4,1))</f>
        <v>15</v>
      </c>
      <c r="C4" s="111">
        <f>MIN(C3*1+Bonuses!BX$3,70+C$3+LEFT($A4,1))</f>
        <v>13</v>
      </c>
      <c r="D4" s="111">
        <f>MIN(D3*1+Bonuses!BY$3,70+D$3+LEFT($A4,1))</f>
        <v>11</v>
      </c>
      <c r="E4" s="111">
        <f>MIN(E3*1+Bonuses!BZ$3,70+E$3+LEFT($A4,1))</f>
        <v>15</v>
      </c>
      <c r="F4" s="111">
        <f>MIN(F3*1+Bonuses!CA$3,70+F$3+LEFT($A4,1))</f>
        <v>15</v>
      </c>
      <c r="G4" s="111">
        <f>MIN(G3*1+Bonuses!CB$3,70+G$3+LEFT($A4,1))</f>
        <v>15</v>
      </c>
      <c r="I4" s="111">
        <f>MIN(I3*1+Bonuses!CC$3,70+I$3+LEFT($A4,1))</f>
        <v>5</v>
      </c>
    </row>
    <row r="5" spans="1:11" x14ac:dyDescent="0.2">
      <c r="A5" s="122" t="s">
        <v>118</v>
      </c>
      <c r="B5" s="111">
        <f>MIN(B4+B$3,70+B$3+LEFT($A5,1))</f>
        <v>30</v>
      </c>
      <c r="C5" s="111">
        <f t="shared" ref="C5:I7" si="0">MIN(C4+C$3,70+C$3+LEFT($A5,1))</f>
        <v>26</v>
      </c>
      <c r="D5" s="111">
        <f t="shared" si="0"/>
        <v>22</v>
      </c>
      <c r="E5" s="111">
        <f t="shared" si="0"/>
        <v>30</v>
      </c>
      <c r="F5" s="111">
        <f t="shared" si="0"/>
        <v>30</v>
      </c>
      <c r="G5" s="111">
        <f t="shared" si="0"/>
        <v>30</v>
      </c>
      <c r="I5" s="111">
        <f t="shared" si="0"/>
        <v>10</v>
      </c>
    </row>
    <row r="6" spans="1:11" x14ac:dyDescent="0.2">
      <c r="A6" s="122" t="s">
        <v>119</v>
      </c>
      <c r="B6" s="111">
        <f>MIN(B5+B$3,70+B$3+LEFT($A6,1))</f>
        <v>45</v>
      </c>
      <c r="C6" s="111">
        <f t="shared" si="0"/>
        <v>39</v>
      </c>
      <c r="D6" s="111">
        <f t="shared" si="0"/>
        <v>33</v>
      </c>
      <c r="E6" s="111">
        <f t="shared" si="0"/>
        <v>45</v>
      </c>
      <c r="F6" s="111">
        <f t="shared" si="0"/>
        <v>45</v>
      </c>
      <c r="G6" s="111">
        <f t="shared" si="0"/>
        <v>45</v>
      </c>
      <c r="I6" s="111">
        <f t="shared" si="0"/>
        <v>15</v>
      </c>
    </row>
    <row r="7" spans="1:11" x14ac:dyDescent="0.2">
      <c r="A7" s="122" t="s">
        <v>120</v>
      </c>
      <c r="B7" s="111">
        <f>MIN(B6+B$3,70+B$3+LEFT($A7,1))</f>
        <v>60</v>
      </c>
      <c r="C7" s="111">
        <f t="shared" si="0"/>
        <v>52</v>
      </c>
      <c r="D7" s="111">
        <f t="shared" si="0"/>
        <v>44</v>
      </c>
      <c r="E7" s="111">
        <f t="shared" si="0"/>
        <v>60</v>
      </c>
      <c r="F7" s="111">
        <f t="shared" si="0"/>
        <v>60</v>
      </c>
      <c r="G7" s="111">
        <f t="shared" si="0"/>
        <v>60</v>
      </c>
      <c r="I7" s="111">
        <f t="shared" si="0"/>
        <v>20</v>
      </c>
    </row>
    <row r="8" spans="1:11" s="154" customFormat="1" x14ac:dyDescent="0.2">
      <c r="A8" s="122" t="s">
        <v>319</v>
      </c>
      <c r="B8" s="111">
        <f>MIN(B7+B$3,70+B$3+LEFT($A8,1))</f>
        <v>75</v>
      </c>
      <c r="C8" s="111">
        <f>MIN(C7+C$3,70+C$3+LEFT($A8,1))</f>
        <v>65</v>
      </c>
      <c r="D8" s="111">
        <f>MIN(D7+D$3,70+D$3+LEFT($A8,1))</f>
        <v>55</v>
      </c>
      <c r="E8" s="111">
        <f>MIN(E7+E$3,70+E$3+LEFT($A8,1))</f>
        <v>75</v>
      </c>
      <c r="F8" s="111">
        <f>MIN(F7+F$3,70+F$3+LEFT($A8,1))</f>
        <v>75</v>
      </c>
      <c r="G8" s="111">
        <f>MIN(G7+G$3,70+G$3+LEFT($A8,1))</f>
        <v>75</v>
      </c>
      <c r="H8"/>
      <c r="I8" s="111">
        <f>MIN(I7+I$3,70+I$3+LEFT($A8,1))</f>
        <v>25</v>
      </c>
      <c r="J8"/>
      <c r="K8"/>
    </row>
    <row r="9" spans="1:11" x14ac:dyDescent="0.2">
      <c r="A9" s="155" t="s">
        <v>281</v>
      </c>
      <c r="D9" s="121" t="s">
        <v>111</v>
      </c>
      <c r="E9" t="s">
        <v>282</v>
      </c>
      <c r="J9" s="121" t="s">
        <v>123</v>
      </c>
    </row>
    <row r="10" spans="1:11" x14ac:dyDescent="0.2">
      <c r="A10" s="122" t="s">
        <v>128</v>
      </c>
      <c r="B10">
        <f>Bonuses!$C$3</f>
        <v>25</v>
      </c>
      <c r="C10" t="s">
        <v>145</v>
      </c>
      <c r="D10" s="156">
        <f>D3</f>
        <v>11</v>
      </c>
      <c r="E10" s="156">
        <f>($D$2+Bonuses!$H$3)-D10</f>
        <v>3</v>
      </c>
      <c r="J10" s="156">
        <f ca="1">Stats!$J$3</f>
        <v>4</v>
      </c>
    </row>
    <row r="11" spans="1:11" x14ac:dyDescent="0.2">
      <c r="A11" s="122" t="s">
        <v>280</v>
      </c>
      <c r="B11">
        <f>Bonuses!$C$3+Bonuses!$D$3</f>
        <v>59.8</v>
      </c>
      <c r="C11" t="s">
        <v>145</v>
      </c>
      <c r="D11" s="156">
        <f>$D$2+Bonuses!$H$3 - HLOOKUP(B11,TmrEncumRef!$D$2:$BC$102,$B$3+1,1)</f>
        <v>9</v>
      </c>
      <c r="E11" s="156">
        <f>($D$2+Bonuses!$H$3)-D11</f>
        <v>5</v>
      </c>
      <c r="J11" s="156">
        <f ca="1">OFFSET(TmrEncumRef!B$2,D11,0)+Bonuses!$N$3</f>
        <v>4</v>
      </c>
    </row>
    <row r="12" spans="1:11" x14ac:dyDescent="0.2">
      <c r="A12" s="122" t="str">
        <f>"Max for "&amp;E12&amp;" AG Loss"</f>
        <v>Max for 0 AG Loss</v>
      </c>
      <c r="B12">
        <f ca="1">OFFSET(TmrEncumRef!$D$2,0,MATCH(E13,OFFSET(TmrEncumRef!$E$2,Stats!$B$3,0,1,51),0))</f>
        <v>13</v>
      </c>
      <c r="D12" s="1">
        <f>$D$2+Bonuses!$H$3 - E12</f>
        <v>14</v>
      </c>
      <c r="E12" s="1">
        <v>0</v>
      </c>
      <c r="J12" s="156">
        <f ca="1">OFFSET(TmrEncumRef!B$2,D12,0)+Bonuses!$N$3</f>
        <v>5</v>
      </c>
    </row>
    <row r="13" spans="1:11" x14ac:dyDescent="0.2">
      <c r="A13" s="122" t="str">
        <f t="shared" ref="A13:A20" si="1">"Max for "&amp;E13&amp;" AG Loss"</f>
        <v>Max for 1 AG Loss</v>
      </c>
      <c r="B13">
        <f ca="1">OFFSET(TmrEncumRef!$D$2,0,MATCH(E14,OFFSET(TmrEncumRef!$E$2,Stats!$B$3,0,1,51),0))</f>
        <v>18</v>
      </c>
      <c r="D13" s="1">
        <f>$D$2+Bonuses!$H$3 - E13</f>
        <v>13</v>
      </c>
      <c r="E13" s="1">
        <v>1</v>
      </c>
      <c r="J13" s="156">
        <f ca="1">OFFSET(TmrEncumRef!B$2,D13,0)+Bonuses!$N$3</f>
        <v>5</v>
      </c>
    </row>
    <row r="14" spans="1:11" x14ac:dyDescent="0.2">
      <c r="A14" s="122" t="str">
        <f t="shared" si="1"/>
        <v>Max for 2 AG Loss</v>
      </c>
      <c r="B14">
        <f ca="1">OFFSET(TmrEncumRef!$D$2,0,MATCH(E15,OFFSET(TmrEncumRef!$E$2,Stats!$B$3,0,1,51),0))</f>
        <v>25</v>
      </c>
      <c r="D14" s="1">
        <f>$D$2+Bonuses!$H$3 - E14</f>
        <v>12</v>
      </c>
      <c r="E14" s="1">
        <v>2</v>
      </c>
      <c r="J14" s="156">
        <f ca="1">OFFSET(TmrEncumRef!B$2,D14,0)+Bonuses!$N$3</f>
        <v>4</v>
      </c>
    </row>
    <row r="15" spans="1:11" x14ac:dyDescent="0.2">
      <c r="A15" s="122" t="str">
        <f t="shared" si="1"/>
        <v>Max for 3 AG Loss</v>
      </c>
      <c r="B15">
        <f ca="1">OFFSET(TmrEncumRef!$D$2,0,MATCH(E16,OFFSET(TmrEncumRef!$E$2,Stats!$B$3,0,1,51),0))</f>
        <v>40</v>
      </c>
      <c r="D15" s="1">
        <f>$D$2+Bonuses!$H$3 - E15</f>
        <v>11</v>
      </c>
      <c r="E15" s="1">
        <v>3</v>
      </c>
      <c r="J15" s="156">
        <f ca="1">OFFSET(TmrEncumRef!B$2,D15,0)+Bonuses!$N$3</f>
        <v>4</v>
      </c>
    </row>
    <row r="16" spans="1:11" x14ac:dyDescent="0.2">
      <c r="A16" s="122" t="str">
        <f t="shared" si="1"/>
        <v>Max for 5 AG Loss</v>
      </c>
      <c r="B16">
        <f ca="1">OFFSET(TmrEncumRef!$D$2,0,MATCH(E17,OFFSET(TmrEncumRef!$E$2,Stats!$B$3,0,1,51),0))</f>
        <v>60</v>
      </c>
      <c r="D16" s="1">
        <f>$D$2+Bonuses!$H$3 - E16</f>
        <v>9</v>
      </c>
      <c r="E16" s="1">
        <v>5</v>
      </c>
      <c r="J16" s="156">
        <f ca="1">OFFSET(TmrEncumRef!B$2,D16,0)+Bonuses!$N$3</f>
        <v>4</v>
      </c>
    </row>
    <row r="17" spans="1:10" x14ac:dyDescent="0.2">
      <c r="A17" s="122" t="str">
        <f t="shared" si="1"/>
        <v>Max for 7 AG Loss</v>
      </c>
      <c r="B17">
        <f ca="1">OFFSET(TmrEncumRef!$D$2,0,MATCH(E18,OFFSET(TmrEncumRef!$E$2,Stats!$B$3,0,1,51),0))</f>
        <v>80</v>
      </c>
      <c r="D17" s="1">
        <f>$D$2+Bonuses!$H$3 - E17</f>
        <v>7</v>
      </c>
      <c r="E17" s="1">
        <v>7</v>
      </c>
      <c r="J17" s="156">
        <f ca="1">OFFSET(TmrEncumRef!B$2,D17,0)+Bonuses!$N$3</f>
        <v>3</v>
      </c>
    </row>
    <row r="18" spans="1:10" x14ac:dyDescent="0.2">
      <c r="A18" s="122" t="str">
        <f t="shared" si="1"/>
        <v>Max for 9 AG Loss</v>
      </c>
      <c r="B18">
        <f ca="1">OFFSET(TmrEncumRef!$D$2,0,MATCH(E19,OFFSET(TmrEncumRef!$E$2,Stats!$B$3,0,1,51),0))</f>
        <v>95</v>
      </c>
      <c r="D18" s="1">
        <f>$D$2+Bonuses!$H$3 - E18</f>
        <v>5</v>
      </c>
      <c r="E18" s="1">
        <v>9</v>
      </c>
      <c r="J18" s="156">
        <f ca="1">OFFSET(TmrEncumRef!B$2,D18,0)+Bonuses!$N$3</f>
        <v>3</v>
      </c>
    </row>
    <row r="19" spans="1:10" x14ac:dyDescent="0.2">
      <c r="A19" s="122" t="str">
        <f t="shared" si="1"/>
        <v>Max for 10 AG Loss</v>
      </c>
      <c r="B19">
        <f ca="1">OFFSET(TmrEncumRef!$D$2,0,MATCH(E20,OFFSET(TmrEncumRef!$E$2,Stats!$B$3,0,1,51),0))</f>
        <v>113</v>
      </c>
      <c r="D19" s="1">
        <f>$D$2+Bonuses!$H$3 - E19</f>
        <v>4</v>
      </c>
      <c r="E19" s="1">
        <v>10</v>
      </c>
      <c r="J19" s="156">
        <f ca="1">OFFSET(TmrEncumRef!B$2,D19,0)+Bonuses!$N$3</f>
        <v>2</v>
      </c>
    </row>
    <row r="20" spans="1:10" x14ac:dyDescent="0.2">
      <c r="A20" s="122" t="str">
        <f t="shared" si="1"/>
        <v>Max for 12 AG Loss</v>
      </c>
      <c r="B20">
        <f ca="1">OFFSET(TmrEncumRef!$D$2,0,MATCH(E21,OFFSET(TmrEncumRef!$E$2,Stats!$B$3,0,1,51),0))</f>
        <v>140</v>
      </c>
      <c r="D20" s="1">
        <f>$D$2+Bonuses!$H$3 - E20</f>
        <v>2</v>
      </c>
      <c r="E20" s="1">
        <v>12</v>
      </c>
      <c r="J20" s="156">
        <f ca="1">OFFSET(TmrEncumRef!B$2,D20,0)+Bonuses!$N$3</f>
        <v>1</v>
      </c>
    </row>
    <row r="21" spans="1:10" x14ac:dyDescent="0.2">
      <c r="E21" s="213">
        <v>30</v>
      </c>
    </row>
    <row r="22" spans="1:10" x14ac:dyDescent="0.2">
      <c r="G22" s="597"/>
      <c r="J22" s="597"/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204C9-D36A-4BCD-81AA-96B32DF3E780}">
  <dimension ref="A1:O36"/>
  <sheetViews>
    <sheetView workbookViewId="0">
      <selection activeCell="A17" sqref="A17"/>
    </sheetView>
  </sheetViews>
  <sheetFormatPr defaultColWidth="14.7109375" defaultRowHeight="12.75" x14ac:dyDescent="0.2"/>
  <cols>
    <col min="1" max="8" width="14.7109375" style="578"/>
    <col min="9" max="10" width="12.7109375" style="578" customWidth="1"/>
    <col min="11" max="11" width="14.7109375" style="578"/>
    <col min="12" max="12" width="18.7109375" style="578" customWidth="1"/>
    <col min="13" max="13" width="16.85546875" style="578" customWidth="1"/>
    <col min="14" max="14" width="8.28515625" style="578" customWidth="1"/>
    <col min="15" max="16384" width="14.7109375" style="578"/>
  </cols>
  <sheetData>
    <row r="1" spans="1:15" s="588" customFormat="1" ht="18" customHeight="1" x14ac:dyDescent="0.2">
      <c r="A1" s="586" t="s">
        <v>1553</v>
      </c>
      <c r="B1" s="587"/>
      <c r="C1" s="587"/>
      <c r="D1" s="587"/>
      <c r="E1" s="587"/>
      <c r="F1" s="587"/>
      <c r="G1" s="587"/>
      <c r="H1" s="587"/>
      <c r="I1" s="595" t="s">
        <v>1584</v>
      </c>
      <c r="J1" s="594" t="str">
        <f>Combat!L1</f>
        <v>Un</v>
      </c>
      <c r="L1" s="586" t="s">
        <v>1551</v>
      </c>
      <c r="M1" s="586"/>
      <c r="N1" s="586"/>
      <c r="O1" s="586"/>
    </row>
    <row r="2" spans="1:15" x14ac:dyDescent="0.2">
      <c r="A2" s="575" t="s">
        <v>1539</v>
      </c>
      <c r="B2" s="575" t="s">
        <v>1540</v>
      </c>
      <c r="C2" s="575" t="s">
        <v>1541</v>
      </c>
      <c r="D2" s="575" t="s">
        <v>1542</v>
      </c>
      <c r="E2" s="575" t="s">
        <v>1543</v>
      </c>
      <c r="F2" s="575" t="s">
        <v>1544</v>
      </c>
      <c r="G2" s="575" t="s">
        <v>1545</v>
      </c>
      <c r="H2" s="576" t="s">
        <v>1546</v>
      </c>
      <c r="I2" s="577" t="s">
        <v>1547</v>
      </c>
      <c r="J2" s="577" t="s">
        <v>1548</v>
      </c>
      <c r="L2" s="585" t="s">
        <v>1555</v>
      </c>
      <c r="M2" s="585" t="s">
        <v>1556</v>
      </c>
      <c r="N2" s="590" t="s">
        <v>1557</v>
      </c>
      <c r="O2" s="585" t="s">
        <v>1558</v>
      </c>
    </row>
    <row r="3" spans="1:15" x14ac:dyDescent="0.2">
      <c r="A3" s="575">
        <v>0</v>
      </c>
      <c r="B3" s="575">
        <v>4</v>
      </c>
      <c r="C3" s="575">
        <v>0</v>
      </c>
      <c r="D3" s="575">
        <v>1</v>
      </c>
      <c r="E3" s="575"/>
      <c r="F3" s="575"/>
      <c r="G3" s="575"/>
      <c r="H3" s="578" t="b">
        <f ca="1">AND(OFFSET($J$3,C3,0)&gt;=B3,$D$15&gt;=D3,$E$15&gt;=E3,$F$15&gt;=F3,$G$15&gt;=G3)</f>
        <v>0</v>
      </c>
      <c r="I3" s="578">
        <v>0</v>
      </c>
      <c r="J3" s="578">
        <f ca="1">COUNTIF(Weapons!$R$2:$R$57,"&gt;="&amp;I3)</f>
        <v>0</v>
      </c>
      <c r="L3" s="578" t="s">
        <v>1554</v>
      </c>
      <c r="M3" s="578" t="b">
        <v>0</v>
      </c>
      <c r="N3" s="580">
        <v>0</v>
      </c>
      <c r="O3" s="578" t="s">
        <v>1585</v>
      </c>
    </row>
    <row r="4" spans="1:15" x14ac:dyDescent="0.2">
      <c r="A4" s="575">
        <v>1</v>
      </c>
      <c r="B4" s="575">
        <v>4</v>
      </c>
      <c r="C4" s="575">
        <v>1</v>
      </c>
      <c r="D4" s="575"/>
      <c r="E4" s="575">
        <v>1</v>
      </c>
      <c r="F4" s="575"/>
      <c r="G4" s="575"/>
      <c r="H4" s="578" t="b">
        <f ca="1">AND(OFFSET($J$3,C4,0)&gt;=B4,$D$15&gt;=D4,$E$15&gt;=E4,$F$15&gt;=F4,$G$15&gt;=G4,H3)</f>
        <v>0</v>
      </c>
      <c r="I4" s="578">
        <v>1</v>
      </c>
      <c r="J4" s="578">
        <f ca="1">COUNTIF(Weapons!$R$2:$R$57,"&gt;="&amp;I4)</f>
        <v>0</v>
      </c>
      <c r="L4" s="578" t="s">
        <v>1559</v>
      </c>
      <c r="M4" s="578" t="b">
        <v>0</v>
      </c>
      <c r="N4" s="580">
        <v>0</v>
      </c>
      <c r="O4" s="578" t="str">
        <f>"+"&amp;J1&amp;" Strength for Withdraw from Close."</f>
        <v>+Un Strength for Withdraw from Close.</v>
      </c>
    </row>
    <row r="5" spans="1:15" x14ac:dyDescent="0.2">
      <c r="A5" s="575">
        <v>2</v>
      </c>
      <c r="B5" s="575">
        <v>7</v>
      </c>
      <c r="C5" s="575">
        <v>1</v>
      </c>
      <c r="D5" s="575"/>
      <c r="E5" s="575">
        <v>1</v>
      </c>
      <c r="F5" s="575"/>
      <c r="G5" s="575"/>
      <c r="H5" s="578" t="b">
        <f t="shared" ref="H5:H13" ca="1" si="0">AND(OFFSET($J$3,C5,0)&gt;=B5,$D$15&gt;=D5,$E$15&gt;=E5,$F$15&gt;=F5,$G$15&gt;=G5,H4)</f>
        <v>0</v>
      </c>
      <c r="I5" s="578">
        <v>2</v>
      </c>
      <c r="J5" s="578">
        <f ca="1">COUNTIF(Weapons!$R$2:$R$57,"&gt;="&amp;I5)</f>
        <v>0</v>
      </c>
      <c r="L5" s="578" t="s">
        <v>1560</v>
      </c>
      <c r="M5" s="578" t="b">
        <v>0</v>
      </c>
      <c r="N5" s="580">
        <v>0</v>
      </c>
      <c r="O5" s="578" t="e">
        <f>"Act on Engaged IV if within "&amp;ROUND(J1/2,0)&amp;" hexes &amp; joining the engagement."</f>
        <v>#VALUE!</v>
      </c>
    </row>
    <row r="6" spans="1:15" x14ac:dyDescent="0.2">
      <c r="A6" s="575">
        <v>3</v>
      </c>
      <c r="B6" s="575">
        <v>4</v>
      </c>
      <c r="C6" s="575">
        <v>2</v>
      </c>
      <c r="D6" s="575"/>
      <c r="E6" s="575">
        <v>2</v>
      </c>
      <c r="F6" s="575"/>
      <c r="G6" s="575"/>
      <c r="H6" s="578" t="b">
        <f t="shared" ca="1" si="0"/>
        <v>0</v>
      </c>
      <c r="I6" s="578">
        <v>3</v>
      </c>
      <c r="J6" s="578">
        <f ca="1">COUNTIF(Weapons!$R$2:$R$57,"&gt;="&amp;I6)</f>
        <v>0</v>
      </c>
      <c r="L6" s="578" t="s">
        <v>1561</v>
      </c>
      <c r="M6" s="578" t="b">
        <v>1</v>
      </c>
      <c r="N6" s="580">
        <v>0</v>
      </c>
      <c r="O6" s="600" t="s">
        <v>1586</v>
      </c>
    </row>
    <row r="7" spans="1:15" x14ac:dyDescent="0.2">
      <c r="A7" s="575">
        <v>4</v>
      </c>
      <c r="B7" s="575">
        <v>7</v>
      </c>
      <c r="C7" s="575">
        <v>2</v>
      </c>
      <c r="D7" s="575"/>
      <c r="E7" s="575">
        <v>2</v>
      </c>
      <c r="F7" s="575"/>
      <c r="G7" s="575"/>
      <c r="H7" s="578" t="b">
        <f t="shared" ca="1" si="0"/>
        <v>0</v>
      </c>
      <c r="I7" s="578">
        <v>4</v>
      </c>
      <c r="J7" s="578">
        <f ca="1">COUNTIF(Weapons!$R$2:$R$57,"&gt;="&amp;I7)</f>
        <v>0</v>
      </c>
      <c r="L7" s="578" t="s">
        <v>1562</v>
      </c>
      <c r="M7" s="578" t="b">
        <v>1</v>
      </c>
      <c r="N7" s="580">
        <v>0</v>
      </c>
      <c r="O7" s="578" t="e">
        <f>"Reduce Multi-Hex Strike SC% penalty by "&amp;J1*2&amp;"%."</f>
        <v>#VALUE!</v>
      </c>
    </row>
    <row r="8" spans="1:15" x14ac:dyDescent="0.2">
      <c r="A8" s="575">
        <v>5</v>
      </c>
      <c r="B8" s="575">
        <v>4</v>
      </c>
      <c r="C8" s="575">
        <v>3</v>
      </c>
      <c r="D8" s="575"/>
      <c r="E8" s="575"/>
      <c r="F8" s="575">
        <v>1</v>
      </c>
      <c r="G8" s="575"/>
      <c r="H8" s="578" t="b">
        <f t="shared" ca="1" si="0"/>
        <v>0</v>
      </c>
      <c r="I8" s="578">
        <v>5</v>
      </c>
      <c r="J8" s="578">
        <f ca="1">COUNTIF(Weapons!$R$2:$R$57,"&gt;="&amp;I8)</f>
        <v>0</v>
      </c>
      <c r="L8" s="578" t="s">
        <v>1563</v>
      </c>
      <c r="M8" s="578" t="b">
        <v>1</v>
      </c>
      <c r="N8" s="580">
        <v>0</v>
      </c>
      <c r="O8" s="578" t="s">
        <v>1587</v>
      </c>
    </row>
    <row r="9" spans="1:15" x14ac:dyDescent="0.2">
      <c r="A9" s="575">
        <v>6</v>
      </c>
      <c r="B9" s="575">
        <v>7</v>
      </c>
      <c r="C9" s="575">
        <v>3</v>
      </c>
      <c r="D9" s="575"/>
      <c r="E9" s="575"/>
      <c r="F9" s="575">
        <v>2</v>
      </c>
      <c r="G9" s="575"/>
      <c r="H9" s="578" t="b">
        <f t="shared" ca="1" si="0"/>
        <v>0</v>
      </c>
      <c r="I9" s="578">
        <v>6</v>
      </c>
      <c r="J9" s="578">
        <f ca="1">COUNTIF(Weapons!$R$2:$R$57,"&gt;="&amp;I9)</f>
        <v>0</v>
      </c>
      <c r="L9" s="578" t="s">
        <v>1564</v>
      </c>
      <c r="M9" s="578" t="b">
        <v>1</v>
      </c>
      <c r="N9" s="580">
        <v>0</v>
      </c>
      <c r="O9" s="578" t="s">
        <v>1588</v>
      </c>
    </row>
    <row r="10" spans="1:15" x14ac:dyDescent="0.2">
      <c r="A10" s="575">
        <v>7</v>
      </c>
      <c r="B10" s="575">
        <v>4</v>
      </c>
      <c r="C10" s="575">
        <v>4</v>
      </c>
      <c r="D10" s="575"/>
      <c r="E10" s="575"/>
      <c r="F10" s="575"/>
      <c r="G10" s="575">
        <v>1</v>
      </c>
      <c r="H10" s="578" t="b">
        <f t="shared" ca="1" si="0"/>
        <v>0</v>
      </c>
      <c r="I10" s="578">
        <v>7</v>
      </c>
      <c r="J10" s="578">
        <f ca="1">COUNTIF(Weapons!$R$2:$R$57,"&gt;="&amp;I10)</f>
        <v>0</v>
      </c>
      <c r="L10" s="578" t="s">
        <v>1565</v>
      </c>
      <c r="M10" s="578" t="b">
        <v>1</v>
      </c>
      <c r="N10" s="580">
        <v>0</v>
      </c>
      <c r="O10" s="578" t="s">
        <v>1589</v>
      </c>
    </row>
    <row r="11" spans="1:15" x14ac:dyDescent="0.2">
      <c r="A11" s="579">
        <v>8</v>
      </c>
      <c r="B11" s="575">
        <v>7</v>
      </c>
      <c r="C11" s="575">
        <v>4</v>
      </c>
      <c r="D11" s="575"/>
      <c r="E11" s="575"/>
      <c r="F11" s="575"/>
      <c r="G11" s="575">
        <v>2</v>
      </c>
      <c r="H11" s="578" t="b">
        <f t="shared" ca="1" si="0"/>
        <v>0</v>
      </c>
      <c r="I11" s="578">
        <v>8</v>
      </c>
      <c r="J11" s="578">
        <f ca="1">COUNTIF(Weapons!$R$2:$R$57,"&gt;="&amp;I11)</f>
        <v>0</v>
      </c>
      <c r="L11" s="578" t="s">
        <v>1566</v>
      </c>
      <c r="M11" s="578" t="b">
        <v>1</v>
      </c>
      <c r="N11" s="580">
        <v>0</v>
      </c>
      <c r="O11" s="578" t="s">
        <v>1590</v>
      </c>
    </row>
    <row r="12" spans="1:15" x14ac:dyDescent="0.2">
      <c r="A12" s="579">
        <v>9</v>
      </c>
      <c r="B12" s="575">
        <v>4</v>
      </c>
      <c r="C12" s="575">
        <v>5</v>
      </c>
      <c r="D12" s="575"/>
      <c r="E12" s="575"/>
      <c r="F12" s="575"/>
      <c r="G12" s="575">
        <v>3</v>
      </c>
      <c r="H12" s="578" t="b">
        <f t="shared" ca="1" si="0"/>
        <v>0</v>
      </c>
      <c r="I12" s="578">
        <v>9</v>
      </c>
      <c r="J12" s="578">
        <f ca="1">COUNTIF(Weapons!$R$2:$R$57,"&gt;="&amp;I12)</f>
        <v>0</v>
      </c>
      <c r="L12" s="578" t="s">
        <v>1567</v>
      </c>
      <c r="M12" s="578" t="b">
        <v>1</v>
      </c>
      <c r="N12" s="580">
        <v>0</v>
      </c>
      <c r="O12" s="578" t="s">
        <v>1591</v>
      </c>
    </row>
    <row r="13" spans="1:15" x14ac:dyDescent="0.2">
      <c r="A13" s="579">
        <v>10</v>
      </c>
      <c r="B13" s="575">
        <v>7</v>
      </c>
      <c r="C13" s="575">
        <v>5</v>
      </c>
      <c r="D13" s="575"/>
      <c r="E13" s="575"/>
      <c r="F13" s="575"/>
      <c r="G13" s="575">
        <v>4</v>
      </c>
      <c r="H13" s="578" t="b">
        <f t="shared" ca="1" si="0"/>
        <v>0</v>
      </c>
      <c r="I13" s="578">
        <v>10</v>
      </c>
      <c r="J13" s="578">
        <f ca="1">COUNTIF(Weapons!$R$2:$R$57,"&gt;="&amp;I13)</f>
        <v>0</v>
      </c>
      <c r="L13" s="578" t="s">
        <v>1568</v>
      </c>
      <c r="M13" s="578" t="b">
        <v>1</v>
      </c>
      <c r="N13" s="580">
        <v>0</v>
      </c>
      <c r="O13" s="600" t="s">
        <v>1592</v>
      </c>
    </row>
    <row r="14" spans="1:15" x14ac:dyDescent="0.2">
      <c r="A14" s="580"/>
      <c r="B14" s="580"/>
      <c r="C14" s="580"/>
      <c r="D14" s="580"/>
      <c r="E14" s="580"/>
      <c r="F14" s="580"/>
      <c r="G14" s="580"/>
      <c r="L14" s="578" t="s">
        <v>1569</v>
      </c>
      <c r="M14" s="578" t="b">
        <v>1</v>
      </c>
      <c r="N14" s="580">
        <v>0</v>
      </c>
      <c r="O14" s="578" t="e">
        <f>"Disarm SC% penalty reduced by "&amp;J1*2&amp;"%. If Disarm is an EN hit then halve chance of retaining the weapon, on a SpecGrev the target may not attempt to retain the weapon."</f>
        <v>#VALUE!</v>
      </c>
    </row>
    <row r="15" spans="1:15" x14ac:dyDescent="0.2">
      <c r="A15" s="592" t="str">
        <f>IFERROR(COUNTA(A17:A36)&amp;" / "&amp;Skills!B59+MAX(0,$J$1-4)+MAX(0,$J$1-7),"Not a Warrior")</f>
        <v>Not a Warrior</v>
      </c>
      <c r="B15" s="580"/>
      <c r="C15" s="581" t="s">
        <v>1549</v>
      </c>
      <c r="D15" s="580">
        <f ca="1">COUNTIF(Weapons!$M$2:$M$57,"&gt;3")</f>
        <v>0</v>
      </c>
      <c r="E15" s="580">
        <f ca="1">COUNTIF(Weapons!$M$2:$M$57,"&gt;4")</f>
        <v>0</v>
      </c>
      <c r="F15" s="580">
        <f ca="1">COUNTIF(Weapons!$M$2:$M$57,"&gt;5")</f>
        <v>0</v>
      </c>
      <c r="G15" s="580">
        <f ca="1">COUNTIF(Weapons!$M$2:$M$57,"&gt;6")</f>
        <v>0</v>
      </c>
      <c r="L15" s="578" t="s">
        <v>1570</v>
      </c>
      <c r="M15" s="578" t="b">
        <v>1</v>
      </c>
      <c r="N15" s="580">
        <v>0</v>
      </c>
      <c r="O15" s="578" t="e">
        <f>"+2 effective weapon rank when defending against a Parry/Riposte. And +"&amp;J1*2&amp;"% to chance of resisting a Disarm."</f>
        <v>#VALUE!</v>
      </c>
    </row>
    <row r="16" spans="1:15" x14ac:dyDescent="0.2">
      <c r="A16" s="593" t="s">
        <v>1579</v>
      </c>
      <c r="B16" s="585" t="s">
        <v>166</v>
      </c>
      <c r="L16" s="578" t="s">
        <v>1571</v>
      </c>
      <c r="M16" s="578" t="b">
        <v>1</v>
      </c>
      <c r="N16" s="580">
        <v>0</v>
      </c>
      <c r="O16" s="578" t="e">
        <f>"+"&amp;TRUNC(J1/2,0)&amp;" to the Parry/Riposte Calculation when evading."</f>
        <v>#VALUE!</v>
      </c>
    </row>
    <row r="17" spans="1:15" x14ac:dyDescent="0.2">
      <c r="A17" s="589"/>
      <c r="B17" s="589"/>
      <c r="C17" s="578" t="str">
        <f>IF(A17&gt;"",IF(AND(VLOOKUP(A17,$L$3:$M$27,2,FALSE)=TRUE,B17=""),"Please choose a weapon for this ability",""),"")</f>
        <v/>
      </c>
      <c r="D17" s="601" t="str">
        <f t="shared" ref="D17:D36" si="1">A17&amp;IF(B17&lt;&gt;""," ("&amp;B17&amp;")","")</f>
        <v/>
      </c>
      <c r="E17" s="596" t="str">
        <f t="shared" ref="E17:E36" si="2">IFERROR(VLOOKUP(A17,$L$3:$O$27,4,FALSE),"")</f>
        <v/>
      </c>
      <c r="L17" s="578" t="s">
        <v>1572</v>
      </c>
      <c r="M17" s="578" t="b">
        <v>0</v>
      </c>
      <c r="N17" s="580">
        <v>0</v>
      </c>
      <c r="O17" s="578" t="s">
        <v>1593</v>
      </c>
    </row>
    <row r="18" spans="1:15" x14ac:dyDescent="0.2">
      <c r="A18" s="589"/>
      <c r="B18" s="589"/>
      <c r="C18" s="578" t="str">
        <f t="shared" ref="C18:C36" si="3">IF(A18&gt;"",IF(AND(VLOOKUP(A18,$L$3:$M$27,2,FALSE)=TRUE,B18=""),"Please choose a weapon for this ability",""),"")</f>
        <v/>
      </c>
      <c r="D18" s="601" t="str">
        <f t="shared" si="1"/>
        <v/>
      </c>
      <c r="E18" s="596" t="str">
        <f t="shared" si="2"/>
        <v/>
      </c>
      <c r="L18" s="578" t="s">
        <v>1573</v>
      </c>
      <c r="M18" s="578" t="b">
        <v>0</v>
      </c>
      <c r="N18" s="580">
        <v>2</v>
      </c>
      <c r="O18" s="578" t="e">
        <f>"Must be declared at the start of the pulse. +"&amp;J1&amp;" to the amount of damage required to be Stunned and +"&amp;J1*2&amp;"% to fear checks for the remainder of the pulse."</f>
        <v>#VALUE!</v>
      </c>
    </row>
    <row r="19" spans="1:15" x14ac:dyDescent="0.2">
      <c r="A19" s="589"/>
      <c r="B19" s="589"/>
      <c r="C19" s="578" t="str">
        <f t="shared" si="3"/>
        <v/>
      </c>
      <c r="D19" s="601" t="str">
        <f t="shared" si="1"/>
        <v/>
      </c>
      <c r="E19" s="596" t="str">
        <f t="shared" si="2"/>
        <v/>
      </c>
      <c r="L19" s="578" t="s">
        <v>1574</v>
      </c>
      <c r="M19" s="578" t="b">
        <v>0</v>
      </c>
      <c r="N19" s="580">
        <v>2</v>
      </c>
      <c r="O19" s="578" t="s">
        <v>1578</v>
      </c>
    </row>
    <row r="20" spans="1:15" x14ac:dyDescent="0.2">
      <c r="A20" s="589"/>
      <c r="B20" s="589"/>
      <c r="C20" s="578" t="str">
        <f t="shared" si="3"/>
        <v/>
      </c>
      <c r="D20" s="601" t="str">
        <f t="shared" si="1"/>
        <v/>
      </c>
      <c r="E20" s="596" t="str">
        <f t="shared" si="2"/>
        <v/>
      </c>
      <c r="L20" s="578" t="s">
        <v>1575</v>
      </c>
      <c r="M20" s="578" t="b">
        <v>0</v>
      </c>
      <c r="N20" s="580">
        <v>2</v>
      </c>
      <c r="O20" s="578" t="s">
        <v>1594</v>
      </c>
    </row>
    <row r="21" spans="1:15" x14ac:dyDescent="0.2">
      <c r="A21" s="589"/>
      <c r="B21" s="589"/>
      <c r="C21" s="578" t="str">
        <f t="shared" si="3"/>
        <v/>
      </c>
      <c r="D21" s="601" t="str">
        <f t="shared" si="1"/>
        <v/>
      </c>
      <c r="E21" s="596" t="str">
        <f t="shared" si="2"/>
        <v/>
      </c>
      <c r="L21" s="578" t="s">
        <v>1576</v>
      </c>
      <c r="M21" s="578" t="b">
        <v>1</v>
      </c>
      <c r="N21" s="580">
        <v>1</v>
      </c>
      <c r="O21" s="578" t="e">
        <f>"1 FT per damage D10 rolled, must be declared before making the attack roll. Any roll of less than "&amp;ROUND(J1/2,0)&amp;" is increased to "&amp;ROUND(J1/2,0)</f>
        <v>#VALUE!</v>
      </c>
    </row>
    <row r="22" spans="1:15" x14ac:dyDescent="0.2">
      <c r="A22" s="589"/>
      <c r="B22" s="589"/>
      <c r="C22" s="578" t="str">
        <f t="shared" si="3"/>
        <v/>
      </c>
      <c r="D22" s="601" t="str">
        <f t="shared" si="1"/>
        <v/>
      </c>
      <c r="E22" s="596" t="str">
        <f t="shared" si="2"/>
        <v/>
      </c>
      <c r="L22" s="578" t="s">
        <v>771</v>
      </c>
      <c r="M22" s="578" t="b">
        <v>1</v>
      </c>
      <c r="N22" s="580">
        <v>1</v>
      </c>
      <c r="O22" s="578" t="e">
        <f>"Must be declared at the start of the pulse. +"&amp;J1*2&amp;" to engaged initiative for a pulse."</f>
        <v>#VALUE!</v>
      </c>
    </row>
    <row r="23" spans="1:15" x14ac:dyDescent="0.2">
      <c r="A23" s="589"/>
      <c r="B23" s="589"/>
      <c r="C23" s="578" t="str">
        <f t="shared" si="3"/>
        <v/>
      </c>
      <c r="D23" s="601" t="str">
        <f t="shared" si="1"/>
        <v/>
      </c>
      <c r="E23" s="596" t="str">
        <f t="shared" si="2"/>
        <v/>
      </c>
      <c r="L23" s="578" t="s">
        <v>1577</v>
      </c>
      <c r="M23" s="578" t="b">
        <v>1</v>
      </c>
      <c r="N23" s="580">
        <v>1</v>
      </c>
      <c r="O23" s="578" t="e">
        <f>"Must be declared at the start of the pulse. +"&amp;J1&amp;" defence, or +"&amp;J1*2&amp;" when evading."</f>
        <v>#VALUE!</v>
      </c>
    </row>
    <row r="24" spans="1:15" x14ac:dyDescent="0.2">
      <c r="A24" s="589"/>
      <c r="B24" s="589"/>
      <c r="C24" s="578" t="str">
        <f t="shared" si="3"/>
        <v/>
      </c>
      <c r="D24" s="601" t="str">
        <f t="shared" si="1"/>
        <v/>
      </c>
      <c r="E24" s="596" t="str">
        <f t="shared" si="2"/>
        <v/>
      </c>
      <c r="L24" s="591" t="s">
        <v>1580</v>
      </c>
      <c r="M24" s="591"/>
      <c r="N24" s="591"/>
      <c r="O24" s="591"/>
    </row>
    <row r="25" spans="1:15" x14ac:dyDescent="0.2">
      <c r="A25" s="589"/>
      <c r="B25" s="589"/>
      <c r="C25" s="578" t="str">
        <f t="shared" si="3"/>
        <v/>
      </c>
      <c r="D25" s="601" t="str">
        <f t="shared" si="1"/>
        <v/>
      </c>
      <c r="E25" s="596" t="str">
        <f t="shared" si="2"/>
        <v/>
      </c>
      <c r="L25" s="591" t="s">
        <v>1581</v>
      </c>
      <c r="M25" s="591"/>
      <c r="N25" s="591"/>
      <c r="O25" s="591"/>
    </row>
    <row r="26" spans="1:15" x14ac:dyDescent="0.2">
      <c r="A26" s="589"/>
      <c r="B26" s="589"/>
      <c r="C26" s="578" t="str">
        <f t="shared" si="3"/>
        <v/>
      </c>
      <c r="D26" s="601" t="str">
        <f t="shared" si="1"/>
        <v/>
      </c>
      <c r="E26" s="596" t="str">
        <f t="shared" si="2"/>
        <v/>
      </c>
      <c r="L26" s="591" t="s">
        <v>1582</v>
      </c>
      <c r="M26" s="591"/>
      <c r="N26" s="591"/>
      <c r="O26" s="591"/>
    </row>
    <row r="27" spans="1:15" x14ac:dyDescent="0.2">
      <c r="A27" s="589"/>
      <c r="B27" s="589"/>
      <c r="C27" s="578" t="str">
        <f t="shared" si="3"/>
        <v/>
      </c>
      <c r="D27" s="601" t="str">
        <f t="shared" si="1"/>
        <v/>
      </c>
      <c r="E27" s="596" t="str">
        <f t="shared" si="2"/>
        <v/>
      </c>
      <c r="L27" s="591" t="s">
        <v>1583</v>
      </c>
      <c r="M27" s="591"/>
      <c r="N27" s="591"/>
      <c r="O27" s="591"/>
    </row>
    <row r="28" spans="1:15" x14ac:dyDescent="0.2">
      <c r="A28" s="589"/>
      <c r="B28" s="589"/>
      <c r="C28" s="578" t="str">
        <f t="shared" si="3"/>
        <v/>
      </c>
      <c r="D28" s="601" t="str">
        <f t="shared" si="1"/>
        <v/>
      </c>
      <c r="E28" s="596" t="str">
        <f t="shared" si="2"/>
        <v/>
      </c>
    </row>
    <row r="29" spans="1:15" x14ac:dyDescent="0.2">
      <c r="A29" s="589"/>
      <c r="B29" s="589"/>
      <c r="C29" s="578" t="str">
        <f t="shared" si="3"/>
        <v/>
      </c>
      <c r="D29" s="601" t="str">
        <f t="shared" si="1"/>
        <v/>
      </c>
      <c r="E29" s="596" t="str">
        <f t="shared" si="2"/>
        <v/>
      </c>
    </row>
    <row r="30" spans="1:15" x14ac:dyDescent="0.2">
      <c r="A30" s="589"/>
      <c r="B30" s="589"/>
      <c r="C30" s="578" t="str">
        <f t="shared" si="3"/>
        <v/>
      </c>
      <c r="D30" s="601" t="str">
        <f t="shared" si="1"/>
        <v/>
      </c>
      <c r="E30" s="596" t="str">
        <f t="shared" si="2"/>
        <v/>
      </c>
    </row>
    <row r="31" spans="1:15" x14ac:dyDescent="0.2">
      <c r="A31" s="589"/>
      <c r="B31" s="589"/>
      <c r="C31" s="578" t="str">
        <f t="shared" si="3"/>
        <v/>
      </c>
      <c r="D31" s="601" t="str">
        <f t="shared" si="1"/>
        <v/>
      </c>
      <c r="E31" s="596" t="str">
        <f t="shared" si="2"/>
        <v/>
      </c>
    </row>
    <row r="32" spans="1:15" x14ac:dyDescent="0.2">
      <c r="A32" s="589"/>
      <c r="B32" s="589"/>
      <c r="C32" s="578" t="str">
        <f t="shared" si="3"/>
        <v/>
      </c>
      <c r="D32" s="601" t="str">
        <f t="shared" si="1"/>
        <v/>
      </c>
      <c r="E32" s="596" t="str">
        <f t="shared" si="2"/>
        <v/>
      </c>
    </row>
    <row r="33" spans="1:5" x14ac:dyDescent="0.2">
      <c r="A33" s="589"/>
      <c r="B33" s="589"/>
      <c r="C33" s="578" t="str">
        <f t="shared" si="3"/>
        <v/>
      </c>
      <c r="D33" s="601" t="str">
        <f t="shared" si="1"/>
        <v/>
      </c>
      <c r="E33" s="596" t="str">
        <f t="shared" si="2"/>
        <v/>
      </c>
    </row>
    <row r="34" spans="1:5" x14ac:dyDescent="0.2">
      <c r="A34" s="589"/>
      <c r="B34" s="589"/>
      <c r="C34" s="578" t="str">
        <f t="shared" si="3"/>
        <v/>
      </c>
      <c r="D34" s="601" t="str">
        <f t="shared" si="1"/>
        <v/>
      </c>
      <c r="E34" s="596" t="str">
        <f t="shared" si="2"/>
        <v/>
      </c>
    </row>
    <row r="35" spans="1:5" x14ac:dyDescent="0.2">
      <c r="A35" s="589"/>
      <c r="B35" s="589"/>
      <c r="C35" s="578" t="str">
        <f t="shared" si="3"/>
        <v/>
      </c>
      <c r="D35" s="601" t="str">
        <f t="shared" si="1"/>
        <v/>
      </c>
      <c r="E35" s="596" t="str">
        <f t="shared" si="2"/>
        <v/>
      </c>
    </row>
    <row r="36" spans="1:5" x14ac:dyDescent="0.2">
      <c r="A36" s="589"/>
      <c r="B36" s="589"/>
      <c r="C36" s="578" t="str">
        <f t="shared" si="3"/>
        <v/>
      </c>
      <c r="D36" s="601" t="str">
        <f t="shared" si="1"/>
        <v/>
      </c>
      <c r="E36" s="596" t="str">
        <f t="shared" si="2"/>
        <v/>
      </c>
    </row>
  </sheetData>
  <sheetProtection formatCells="0" formatColumns="0" formatRows="0"/>
  <phoneticPr fontId="3" type="noConversion"/>
  <conditionalFormatting sqref="H3:H13">
    <cfRule type="cellIs" dxfId="5" priority="1" operator="equal">
      <formula>TRUE</formula>
    </cfRule>
  </conditionalFormatting>
  <dataValidations count="1">
    <dataValidation type="list" allowBlank="1" showInputMessage="1" showErrorMessage="1" sqref="A17:A36" xr:uid="{F2E18B1F-78FE-431A-9204-370330A9499C}">
      <formula1>$L$3:$L$27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4418F8C-B5D4-4731-806B-DF9B39BE45FA}">
          <x14:formula1>
            <xm:f>Weapons!$A$2:$A$89</xm:f>
          </x14:formula1>
          <xm:sqref>B17:B36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CF23A-5AEC-44E6-9A07-464EF3A2A448}">
  <dimension ref="A1:AS109"/>
  <sheetViews>
    <sheetView topLeftCell="A52" workbookViewId="0">
      <pane xSplit="1" topLeftCell="B1" activePane="topRight" state="frozen"/>
      <selection pane="topRight" activeCell="A95" sqref="A95"/>
    </sheetView>
  </sheetViews>
  <sheetFormatPr defaultRowHeight="12.75" x14ac:dyDescent="0.2"/>
  <cols>
    <col min="1" max="1" width="16.140625" customWidth="1"/>
    <col min="2" max="4" width="9.140625" customWidth="1"/>
    <col min="5" max="5" width="9.140625" style="1" customWidth="1"/>
    <col min="6" max="6" width="16.42578125" customWidth="1"/>
    <col min="7" max="10" width="9.140625" customWidth="1"/>
    <col min="11" max="11" width="9.140625" style="750" customWidth="1"/>
    <col min="12" max="16" width="9.140625" customWidth="1"/>
    <col min="22" max="22" width="4" customWidth="1"/>
    <col min="23" max="23" width="21" customWidth="1"/>
    <col min="43" max="43" width="9.140625" style="749"/>
  </cols>
  <sheetData>
    <row r="1" spans="1:45" x14ac:dyDescent="0.2">
      <c r="B1" t="s">
        <v>173</v>
      </c>
      <c r="C1" t="s">
        <v>1758</v>
      </c>
      <c r="D1" t="s">
        <v>1793</v>
      </c>
      <c r="E1" s="4" t="s">
        <v>1909</v>
      </c>
      <c r="F1" t="s">
        <v>1759</v>
      </c>
      <c r="G1" t="s">
        <v>164</v>
      </c>
      <c r="H1" t="s">
        <v>1760</v>
      </c>
      <c r="I1" t="s">
        <v>1761</v>
      </c>
      <c r="J1" t="s">
        <v>1762</v>
      </c>
      <c r="K1" s="5" t="s">
        <v>1968</v>
      </c>
      <c r="L1" t="s">
        <v>1763</v>
      </c>
      <c r="M1" t="s">
        <v>1764</v>
      </c>
      <c r="N1" t="s">
        <v>1765</v>
      </c>
      <c r="O1" t="s">
        <v>1766</v>
      </c>
      <c r="P1" t="s">
        <v>1767</v>
      </c>
      <c r="Q1" t="s">
        <v>1768</v>
      </c>
      <c r="R1" t="s">
        <v>1769</v>
      </c>
      <c r="S1" t="s">
        <v>1770</v>
      </c>
      <c r="T1" t="s">
        <v>1771</v>
      </c>
      <c r="U1" t="s">
        <v>1772</v>
      </c>
      <c r="W1" s="597" t="s">
        <v>1773</v>
      </c>
      <c r="X1" s="597" t="s">
        <v>1774</v>
      </c>
      <c r="Y1" s="597" t="s">
        <v>1775</v>
      </c>
      <c r="Z1" s="597" t="s">
        <v>470</v>
      </c>
      <c r="AA1" s="597" t="s">
        <v>1776</v>
      </c>
      <c r="AB1" s="597" t="s">
        <v>1778</v>
      </c>
      <c r="AC1" s="597" t="s">
        <v>1777</v>
      </c>
      <c r="AD1" s="597" t="s">
        <v>1751</v>
      </c>
      <c r="AE1" s="597" t="s">
        <v>1779</v>
      </c>
      <c r="AF1" s="597" t="s">
        <v>1780</v>
      </c>
      <c r="AG1" s="597" t="s">
        <v>1781</v>
      </c>
      <c r="AH1" s="597" t="s">
        <v>1782</v>
      </c>
      <c r="AI1" s="597" t="s">
        <v>1783</v>
      </c>
      <c r="AJ1" s="597" t="s">
        <v>1784</v>
      </c>
      <c r="AK1" s="597" t="s">
        <v>1785</v>
      </c>
      <c r="AL1" s="597" t="s">
        <v>1786</v>
      </c>
      <c r="AM1" s="597" t="s">
        <v>1787</v>
      </c>
      <c r="AN1" s="597" t="s">
        <v>1788</v>
      </c>
      <c r="AO1" s="597" t="s">
        <v>1789</v>
      </c>
      <c r="AP1" s="597" t="s">
        <v>1790</v>
      </c>
      <c r="AQ1" s="751" t="s">
        <v>1965</v>
      </c>
      <c r="AR1" s="597" t="s">
        <v>1791</v>
      </c>
      <c r="AS1" s="597" t="s">
        <v>1792</v>
      </c>
    </row>
    <row r="2" spans="1:45" s="597" customFormat="1" x14ac:dyDescent="0.2">
      <c r="E2" s="1"/>
      <c r="G2" s="597">
        <f>MAX(G3:G90)</f>
        <v>8</v>
      </c>
      <c r="H2" s="597">
        <f t="shared" ref="H2:U2" si="0">MAX(H3:H90)</f>
        <v>-1</v>
      </c>
      <c r="I2" s="597">
        <f t="shared" si="0"/>
        <v>-1</v>
      </c>
      <c r="J2" s="597">
        <f t="shared" si="0"/>
        <v>-1</v>
      </c>
      <c r="K2" s="750">
        <f t="shared" ref="K2" si="1">MAX(K3:K90)</f>
        <v>-1</v>
      </c>
      <c r="L2" s="597">
        <f t="shared" si="0"/>
        <v>-1</v>
      </c>
      <c r="M2" s="597">
        <f t="shared" si="0"/>
        <v>-1</v>
      </c>
      <c r="N2" s="597">
        <f t="shared" si="0"/>
        <v>-1</v>
      </c>
      <c r="O2" s="597">
        <f t="shared" si="0"/>
        <v>-1</v>
      </c>
      <c r="P2" s="597">
        <f t="shared" si="0"/>
        <v>-1</v>
      </c>
      <c r="Q2" s="597">
        <f t="shared" si="0"/>
        <v>-1</v>
      </c>
      <c r="R2" s="597">
        <f t="shared" si="0"/>
        <v>-1</v>
      </c>
      <c r="S2" s="597">
        <f t="shared" si="0"/>
        <v>-1</v>
      </c>
      <c r="T2" s="597">
        <f t="shared" si="0"/>
        <v>-1</v>
      </c>
      <c r="U2" s="597">
        <f t="shared" si="0"/>
        <v>-1</v>
      </c>
      <c r="X2" s="597">
        <f t="shared" ref="X2:AS2" si="2">MAX(X3:X90)</f>
        <v>-1</v>
      </c>
      <c r="Y2" s="597">
        <f t="shared" si="2"/>
        <v>-1</v>
      </c>
      <c r="Z2" s="597">
        <f t="shared" si="2"/>
        <v>-1</v>
      </c>
      <c r="AA2" s="597">
        <f t="shared" si="2"/>
        <v>-1</v>
      </c>
      <c r="AB2" s="597">
        <f t="shared" si="2"/>
        <v>-1</v>
      </c>
      <c r="AC2" s="597">
        <f t="shared" si="2"/>
        <v>-1</v>
      </c>
      <c r="AD2" s="597">
        <f t="shared" si="2"/>
        <v>-1</v>
      </c>
      <c r="AE2" s="597">
        <f t="shared" si="2"/>
        <v>-1</v>
      </c>
      <c r="AF2" s="597">
        <f t="shared" si="2"/>
        <v>-1</v>
      </c>
      <c r="AG2" s="597">
        <f t="shared" si="2"/>
        <v>-1</v>
      </c>
      <c r="AH2" s="597">
        <f t="shared" si="2"/>
        <v>-1</v>
      </c>
      <c r="AI2" s="597">
        <f t="shared" si="2"/>
        <v>-1</v>
      </c>
      <c r="AJ2" s="597">
        <f t="shared" si="2"/>
        <v>-1</v>
      </c>
      <c r="AK2" s="597">
        <f t="shared" si="2"/>
        <v>-1</v>
      </c>
      <c r="AL2" s="597">
        <f t="shared" si="2"/>
        <v>-1</v>
      </c>
      <c r="AM2" s="597">
        <f t="shared" si="2"/>
        <v>-1</v>
      </c>
      <c r="AN2" s="597">
        <f t="shared" si="2"/>
        <v>-1</v>
      </c>
      <c r="AO2" s="597">
        <f t="shared" si="2"/>
        <v>-1</v>
      </c>
      <c r="AP2" s="597">
        <f t="shared" si="2"/>
        <v>-1</v>
      </c>
      <c r="AQ2" s="749">
        <f t="shared" si="2"/>
        <v>-1</v>
      </c>
      <c r="AR2" s="597">
        <f t="shared" si="2"/>
        <v>-1</v>
      </c>
      <c r="AS2" s="597">
        <f t="shared" si="2"/>
        <v>-1</v>
      </c>
    </row>
    <row r="3" spans="1:45" x14ac:dyDescent="0.2">
      <c r="A3" t="s">
        <v>164</v>
      </c>
      <c r="B3">
        <f>IFERROR(VLOOKUP(A3,Skills!$A$81:$H$106,8,FALSE)*1,-1)</f>
        <v>8</v>
      </c>
      <c r="C3" s="597">
        <f>MAX(B3,
TRUNC(HLOOKUP(F3,$G$1:$U$2,2,FALSE)/4,0)-1,
IFERROR(IF(ISERR(FIND(",",W3)),TRUNC(HLOOKUP(W3,$X$1:$AS$2,2,FALSE)/3,0)-1,MAX(TRUNC(HLOOKUP(LEFT(W3,FIND(",",W3)-1),$X$1:$AS$2,2,FALSE)/3,0)-1,TRUNC(HLOOKUP(MID(W3,FIND(",",W3)+2,99),$X$1:$AS$2,2,FALSE)/3,0)-1)),-1)
)</f>
        <v>8</v>
      </c>
      <c r="D3">
        <v>9</v>
      </c>
      <c r="E3" s="4" t="s">
        <v>1912</v>
      </c>
      <c r="F3" s="597" t="s">
        <v>164</v>
      </c>
      <c r="G3">
        <f>B3</f>
        <v>8</v>
      </c>
      <c r="W3" s="597"/>
    </row>
    <row r="4" spans="1:45" x14ac:dyDescent="0.2">
      <c r="A4" s="597" t="s">
        <v>1742</v>
      </c>
      <c r="B4" s="597">
        <f>IFERROR(VLOOKUP(A4,Skills!$A$81:$H$106,8,FALSE)*1,-1)</f>
        <v>-1</v>
      </c>
      <c r="C4" s="597">
        <f t="shared" ref="C4:C72" si="3">MAX(B4,
TRUNC(HLOOKUP(F4,$G$1:$U$2,2,FALSE)/4,0)-1,
IFERROR(IF(ISERR(FIND(",",W4)),TRUNC(HLOOKUP(W4,$X$1:$AS$2,2,FALSE)/3,0)-1,MAX(TRUNC(HLOOKUP(LEFT(W4,FIND(",",W4)-1),$X$1:$AS$2,2,FALSE)/3,0)-1,TRUNC(HLOOKUP(MID(W4,FIND(",",W4)+2,99),$X$1:$AS$2,2,FALSE)/3,0)-1)),-1)
)</f>
        <v>-1</v>
      </c>
      <c r="D4">
        <v>9</v>
      </c>
      <c r="E4" s="4" t="s">
        <v>1910</v>
      </c>
      <c r="F4" s="597" t="s">
        <v>1760</v>
      </c>
      <c r="H4">
        <f>$B4</f>
        <v>-1</v>
      </c>
      <c r="W4" s="597" t="s">
        <v>1777</v>
      </c>
      <c r="AC4" s="597">
        <f t="shared" ref="AC4:AC5" si="4">$B4</f>
        <v>-1</v>
      </c>
    </row>
    <row r="5" spans="1:45" x14ac:dyDescent="0.2">
      <c r="A5" t="s">
        <v>1743</v>
      </c>
      <c r="B5" s="597">
        <f>IFERROR(VLOOKUP(A5,Skills!$A$81:$H$106,8,FALSE)*1,-1)</f>
        <v>-1</v>
      </c>
      <c r="C5" s="597">
        <f t="shared" si="3"/>
        <v>-1</v>
      </c>
      <c r="D5">
        <v>9</v>
      </c>
      <c r="E5" s="4" t="s">
        <v>1911</v>
      </c>
      <c r="F5" s="597" t="s">
        <v>1760</v>
      </c>
      <c r="H5" s="597">
        <f t="shared" ref="H5:I20" si="5">$B5</f>
        <v>-1</v>
      </c>
      <c r="W5" s="597" t="s">
        <v>1777</v>
      </c>
      <c r="AC5" s="597">
        <f t="shared" si="4"/>
        <v>-1</v>
      </c>
    </row>
    <row r="6" spans="1:45" x14ac:dyDescent="0.2">
      <c r="A6" t="s">
        <v>1744</v>
      </c>
      <c r="B6" s="597">
        <f>IFERROR(VLOOKUP(A6,Skills!$A$81:$H$106,8,FALSE)*1,-1)</f>
        <v>-1</v>
      </c>
      <c r="C6" s="597">
        <f t="shared" si="3"/>
        <v>-1</v>
      </c>
      <c r="D6">
        <v>8</v>
      </c>
      <c r="E6" s="4" t="s">
        <v>1891</v>
      </c>
      <c r="F6" s="597" t="s">
        <v>1760</v>
      </c>
      <c r="H6" s="597">
        <f t="shared" si="5"/>
        <v>-1</v>
      </c>
      <c r="W6" s="597" t="s">
        <v>1784</v>
      </c>
      <c r="AJ6" s="597">
        <f t="shared" ref="AJ6:AJ7" si="6">$B6</f>
        <v>-1</v>
      </c>
    </row>
    <row r="7" spans="1:45" x14ac:dyDescent="0.2">
      <c r="A7" t="s">
        <v>1745</v>
      </c>
      <c r="B7" s="597">
        <f>IFERROR(VLOOKUP(A7,Skills!$A$81:$H$106,8,FALSE)*1,-1)</f>
        <v>-1</v>
      </c>
      <c r="C7" s="597">
        <f t="shared" si="3"/>
        <v>-1</v>
      </c>
      <c r="D7">
        <v>9</v>
      </c>
      <c r="E7" s="4" t="s">
        <v>1891</v>
      </c>
      <c r="F7" s="597" t="s">
        <v>1760</v>
      </c>
      <c r="H7" s="597">
        <f t="shared" si="5"/>
        <v>-1</v>
      </c>
      <c r="W7" s="597" t="s">
        <v>1839</v>
      </c>
      <c r="AC7" s="597">
        <f t="shared" ref="AC7:AC8" si="7">$B7</f>
        <v>-1</v>
      </c>
      <c r="AJ7" s="597">
        <f t="shared" si="6"/>
        <v>-1</v>
      </c>
    </row>
    <row r="8" spans="1:45" x14ac:dyDescent="0.2">
      <c r="A8" t="s">
        <v>1746</v>
      </c>
      <c r="B8" s="597">
        <f>IFERROR(VLOOKUP(A8,Skills!$A$81:$H$106,8,FALSE)*1,-1)</f>
        <v>-1</v>
      </c>
      <c r="C8" s="597">
        <f t="shared" si="3"/>
        <v>-1</v>
      </c>
      <c r="D8">
        <v>9</v>
      </c>
      <c r="E8" s="4" t="s">
        <v>1891</v>
      </c>
      <c r="F8" s="597" t="s">
        <v>1760</v>
      </c>
      <c r="H8" s="597">
        <f t="shared" si="5"/>
        <v>-1</v>
      </c>
      <c r="W8" s="597" t="s">
        <v>1777</v>
      </c>
      <c r="AC8" s="597">
        <f t="shared" si="7"/>
        <v>-1</v>
      </c>
    </row>
    <row r="9" spans="1:45" x14ac:dyDescent="0.2">
      <c r="A9" t="s">
        <v>1747</v>
      </c>
      <c r="B9" s="597">
        <f>IFERROR(VLOOKUP(A9,Skills!$A$81:$H$106,8,FALSE)*1,-1)</f>
        <v>-1</v>
      </c>
      <c r="C9" s="597">
        <f t="shared" si="3"/>
        <v>-1</v>
      </c>
      <c r="D9">
        <v>10</v>
      </c>
      <c r="E9" s="4" t="s">
        <v>1891</v>
      </c>
      <c r="F9" s="597" t="s">
        <v>1760</v>
      </c>
      <c r="H9" s="597">
        <f t="shared" si="5"/>
        <v>-1</v>
      </c>
      <c r="W9" s="597"/>
      <c r="AF9" s="597">
        <f t="shared" ref="AF9" si="8">$B9</f>
        <v>-1</v>
      </c>
    </row>
    <row r="10" spans="1:45" x14ac:dyDescent="0.2">
      <c r="A10" t="s">
        <v>1794</v>
      </c>
      <c r="B10" s="597">
        <f>IFERROR(VLOOKUP(A10,Skills!$A$81:$H$106,8,FALSE)*1,-1)</f>
        <v>-1</v>
      </c>
      <c r="C10" s="597">
        <f t="shared" si="3"/>
        <v>-1</v>
      </c>
      <c r="D10">
        <v>9</v>
      </c>
      <c r="E10" s="4" t="s">
        <v>1885</v>
      </c>
      <c r="F10" s="597" t="s">
        <v>1760</v>
      </c>
      <c r="H10" s="597">
        <f t="shared" si="5"/>
        <v>-1</v>
      </c>
      <c r="W10" s="597" t="s">
        <v>1776</v>
      </c>
      <c r="AA10" s="597">
        <f t="shared" ref="AA10" si="9">$B10</f>
        <v>-1</v>
      </c>
    </row>
    <row r="11" spans="1:45" x14ac:dyDescent="0.2">
      <c r="A11" t="s">
        <v>1748</v>
      </c>
      <c r="B11" s="597">
        <f>IFERROR(VLOOKUP(A11,Skills!$A$81:$H$106,8,FALSE)*1,-1)</f>
        <v>-1</v>
      </c>
      <c r="C11" s="597">
        <f t="shared" si="3"/>
        <v>-1</v>
      </c>
      <c r="D11">
        <v>9</v>
      </c>
      <c r="E11" s="4" t="s">
        <v>1891</v>
      </c>
      <c r="F11" s="597" t="s">
        <v>1760</v>
      </c>
      <c r="H11" s="597">
        <f t="shared" si="5"/>
        <v>-1</v>
      </c>
      <c r="W11" s="597" t="s">
        <v>1777</v>
      </c>
      <c r="AC11" s="597">
        <f t="shared" ref="AC11:AC12" si="10">$B11</f>
        <v>-1</v>
      </c>
    </row>
    <row r="12" spans="1:45" x14ac:dyDescent="0.2">
      <c r="A12" t="s">
        <v>1749</v>
      </c>
      <c r="B12" s="597">
        <f>IFERROR(VLOOKUP(A12,Skills!$A$81:$H$106,8,FALSE)*1,-1)</f>
        <v>-1</v>
      </c>
      <c r="C12" s="597">
        <f t="shared" si="3"/>
        <v>-1</v>
      </c>
      <c r="D12">
        <v>9</v>
      </c>
      <c r="E12" s="4" t="s">
        <v>1891</v>
      </c>
      <c r="F12" s="597" t="s">
        <v>1760</v>
      </c>
      <c r="H12" s="597">
        <f t="shared" si="5"/>
        <v>-1</v>
      </c>
      <c r="W12" s="597" t="s">
        <v>1777</v>
      </c>
      <c r="AC12" s="597">
        <f t="shared" si="10"/>
        <v>-1</v>
      </c>
    </row>
    <row r="13" spans="1:45" x14ac:dyDescent="0.2">
      <c r="A13" t="s">
        <v>1752</v>
      </c>
      <c r="B13" s="597">
        <f>IFERROR(VLOOKUP(A13,Skills!$A$81:$H$106,8,FALSE)*1,-1)</f>
        <v>-1</v>
      </c>
      <c r="C13" s="597">
        <f t="shared" si="3"/>
        <v>-1</v>
      </c>
      <c r="D13">
        <v>9</v>
      </c>
      <c r="E13" s="4" t="s">
        <v>1883</v>
      </c>
      <c r="F13" s="597" t="s">
        <v>1761</v>
      </c>
      <c r="I13" s="597">
        <f t="shared" si="5"/>
        <v>-1</v>
      </c>
      <c r="W13" s="597"/>
    </row>
    <row r="14" spans="1:45" x14ac:dyDescent="0.2">
      <c r="A14" t="s">
        <v>1750</v>
      </c>
      <c r="B14" s="597">
        <f>IFERROR(VLOOKUP(A14,Skills!$A$81:$H$106,8,FALSE)*1,-1)</f>
        <v>-1</v>
      </c>
      <c r="C14" s="597">
        <f t="shared" si="3"/>
        <v>-1</v>
      </c>
      <c r="D14">
        <v>9</v>
      </c>
      <c r="E14" s="4" t="s">
        <v>1891</v>
      </c>
      <c r="F14" s="597" t="s">
        <v>1761</v>
      </c>
      <c r="I14" s="597">
        <f t="shared" si="5"/>
        <v>-1</v>
      </c>
      <c r="W14" s="597" t="s">
        <v>1786</v>
      </c>
      <c r="AL14" s="597">
        <f t="shared" ref="AL14:AL15" si="11">$B14</f>
        <v>-1</v>
      </c>
    </row>
    <row r="15" spans="1:45" x14ac:dyDescent="0.2">
      <c r="A15" t="s">
        <v>1795</v>
      </c>
      <c r="B15" s="597">
        <f>IFERROR(VLOOKUP(A15,Skills!$A$81:$H$106,8,FALSE)*1,-1)</f>
        <v>-1</v>
      </c>
      <c r="C15" s="597">
        <f t="shared" si="3"/>
        <v>-1</v>
      </c>
      <c r="D15">
        <v>9</v>
      </c>
      <c r="E15" s="4" t="s">
        <v>1891</v>
      </c>
      <c r="F15" s="597" t="s">
        <v>1761</v>
      </c>
      <c r="I15" s="597">
        <f t="shared" si="5"/>
        <v>-1</v>
      </c>
      <c r="W15" s="597" t="s">
        <v>1786</v>
      </c>
      <c r="AL15" s="597">
        <f t="shared" si="11"/>
        <v>-1</v>
      </c>
    </row>
    <row r="16" spans="1:45" x14ac:dyDescent="0.2">
      <c r="A16" t="s">
        <v>1751</v>
      </c>
      <c r="B16" s="597">
        <f>IFERROR(VLOOKUP(A16,Skills!$A$81:$H$106,8,FALSE)*1,-1)</f>
        <v>-1</v>
      </c>
      <c r="C16" s="597">
        <f t="shared" si="3"/>
        <v>-1</v>
      </c>
      <c r="D16">
        <v>10</v>
      </c>
      <c r="E16" s="4" t="s">
        <v>1886</v>
      </c>
      <c r="F16" s="597" t="s">
        <v>1761</v>
      </c>
      <c r="I16" s="597">
        <f t="shared" si="5"/>
        <v>-1</v>
      </c>
      <c r="W16" s="597" t="s">
        <v>1751</v>
      </c>
      <c r="AD16" s="597">
        <f t="shared" ref="AD16" si="12">$B16</f>
        <v>-1</v>
      </c>
    </row>
    <row r="17" spans="1:45" x14ac:dyDescent="0.2">
      <c r="A17" t="s">
        <v>1796</v>
      </c>
      <c r="B17" s="597">
        <f>IFERROR(VLOOKUP(A17,Skills!$A$81:$H$106,8,FALSE)*1,-1)</f>
        <v>-1</v>
      </c>
      <c r="C17" s="597">
        <f t="shared" si="3"/>
        <v>-1</v>
      </c>
      <c r="D17">
        <v>8</v>
      </c>
      <c r="F17" s="597" t="s">
        <v>1761</v>
      </c>
      <c r="I17" s="597">
        <f t="shared" si="5"/>
        <v>-1</v>
      </c>
      <c r="W17" s="597" t="s">
        <v>1786</v>
      </c>
      <c r="AL17" s="597">
        <f t="shared" ref="AL17:AL18" si="13">$B17</f>
        <v>-1</v>
      </c>
    </row>
    <row r="18" spans="1:45" x14ac:dyDescent="0.2">
      <c r="A18" t="s">
        <v>1797</v>
      </c>
      <c r="B18" s="597">
        <f>IFERROR(VLOOKUP(A18,Skills!$A$81:$H$106,8,FALSE)*1,-1)</f>
        <v>-1</v>
      </c>
      <c r="C18" s="597">
        <f t="shared" si="3"/>
        <v>-1</v>
      </c>
      <c r="D18">
        <v>9</v>
      </c>
      <c r="E18" s="697" t="s">
        <v>81</v>
      </c>
      <c r="F18" s="597" t="s">
        <v>1761</v>
      </c>
      <c r="I18" s="597">
        <f t="shared" si="5"/>
        <v>-1</v>
      </c>
      <c r="W18" s="597" t="s">
        <v>1786</v>
      </c>
      <c r="AL18" s="597">
        <f t="shared" si="13"/>
        <v>-1</v>
      </c>
    </row>
    <row r="19" spans="1:45" x14ac:dyDescent="0.2">
      <c r="A19" t="s">
        <v>1798</v>
      </c>
      <c r="B19" s="597">
        <f>IFERROR(VLOOKUP(A19,Skills!$A$81:$H$106,8,FALSE)*1,-1)</f>
        <v>-1</v>
      </c>
      <c r="C19" s="597">
        <f t="shared" si="3"/>
        <v>-1</v>
      </c>
      <c r="D19">
        <v>9</v>
      </c>
      <c r="E19" s="697" t="s">
        <v>81</v>
      </c>
      <c r="F19" s="597" t="s">
        <v>1761</v>
      </c>
      <c r="I19" s="597">
        <f t="shared" si="5"/>
        <v>-1</v>
      </c>
      <c r="W19" s="597"/>
    </row>
    <row r="20" spans="1:45" x14ac:dyDescent="0.2">
      <c r="A20" t="s">
        <v>1753</v>
      </c>
      <c r="B20" s="597">
        <f>IFERROR(VLOOKUP(A20,Skills!$A$81:$H$106,8,FALSE)*1,-1)</f>
        <v>-1</v>
      </c>
      <c r="C20" s="597">
        <f t="shared" si="3"/>
        <v>-1</v>
      </c>
      <c r="D20">
        <v>8</v>
      </c>
      <c r="F20" s="597" t="s">
        <v>1761</v>
      </c>
      <c r="I20" s="597">
        <f t="shared" si="5"/>
        <v>-1</v>
      </c>
      <c r="W20" s="597"/>
    </row>
    <row r="21" spans="1:45" x14ac:dyDescent="0.2">
      <c r="A21" t="s">
        <v>1799</v>
      </c>
      <c r="B21" s="597">
        <f>IFERROR(VLOOKUP(A21,Skills!$A$81:$H$106,8,FALSE)*1,-1)</f>
        <v>-1</v>
      </c>
      <c r="C21" s="597">
        <f t="shared" si="3"/>
        <v>-1</v>
      </c>
      <c r="D21">
        <v>9</v>
      </c>
      <c r="E21" s="697" t="s">
        <v>1885</v>
      </c>
      <c r="F21" s="597" t="s">
        <v>1761</v>
      </c>
      <c r="I21" s="597">
        <f t="shared" ref="I21:M42" si="14">$B21</f>
        <v>-1</v>
      </c>
      <c r="W21" s="597" t="s">
        <v>1776</v>
      </c>
      <c r="AA21" s="597">
        <f t="shared" ref="AA21" si="15">$B21</f>
        <v>-1</v>
      </c>
    </row>
    <row r="22" spans="1:45" x14ac:dyDescent="0.2">
      <c r="A22" t="s">
        <v>1755</v>
      </c>
      <c r="B22" s="597">
        <f>IFERROR(VLOOKUP(A22,Skills!$A$81:$H$106,8,FALSE)*1,-1)</f>
        <v>-1</v>
      </c>
      <c r="C22" s="597">
        <f t="shared" si="3"/>
        <v>-1</v>
      </c>
      <c r="D22">
        <v>9</v>
      </c>
      <c r="F22" s="597" t="s">
        <v>1761</v>
      </c>
      <c r="I22" s="597">
        <f t="shared" si="14"/>
        <v>-1</v>
      </c>
      <c r="W22" s="597" t="s">
        <v>1786</v>
      </c>
      <c r="AL22" s="597">
        <f t="shared" ref="AL22" si="16">$B22</f>
        <v>-1</v>
      </c>
    </row>
    <row r="23" spans="1:45" x14ac:dyDescent="0.2">
      <c r="A23" t="s">
        <v>1800</v>
      </c>
      <c r="B23" s="597">
        <f>IFERROR(VLOOKUP(A23,Skills!$A$81:$H$106,8,FALSE)*1,-1)</f>
        <v>-1</v>
      </c>
      <c r="C23" s="597">
        <f t="shared" si="3"/>
        <v>-1</v>
      </c>
      <c r="D23">
        <v>9</v>
      </c>
      <c r="E23" s="697" t="s">
        <v>1913</v>
      </c>
      <c r="F23" s="597" t="s">
        <v>1761</v>
      </c>
      <c r="I23" s="597">
        <f t="shared" si="14"/>
        <v>-1</v>
      </c>
      <c r="W23" s="597"/>
    </row>
    <row r="24" spans="1:45" x14ac:dyDescent="0.2">
      <c r="A24" t="s">
        <v>1754</v>
      </c>
      <c r="B24" s="597">
        <f>IFERROR(VLOOKUP(A24,Skills!$A$81:$H$106,8,FALSE)*1,-1)</f>
        <v>-1</v>
      </c>
      <c r="C24" s="597">
        <f t="shared" si="3"/>
        <v>-1</v>
      </c>
      <c r="D24">
        <v>10</v>
      </c>
      <c r="E24" s="697" t="s">
        <v>81</v>
      </c>
      <c r="F24" s="597" t="s">
        <v>1762</v>
      </c>
      <c r="J24" s="597">
        <f t="shared" si="14"/>
        <v>-1</v>
      </c>
      <c r="W24" s="597" t="s">
        <v>1776</v>
      </c>
      <c r="AA24" s="597">
        <f t="shared" ref="AA24" si="17">$B24</f>
        <v>-1</v>
      </c>
    </row>
    <row r="25" spans="1:45" x14ac:dyDescent="0.2">
      <c r="A25" t="s">
        <v>1801</v>
      </c>
      <c r="B25" s="597">
        <f>IFERROR(VLOOKUP(A25,Skills!$A$81:$H$106,8,FALSE)*1,-1)</f>
        <v>-1</v>
      </c>
      <c r="C25" s="597">
        <f t="shared" si="3"/>
        <v>-1</v>
      </c>
      <c r="D25">
        <v>9</v>
      </c>
      <c r="E25" s="697" t="s">
        <v>1883</v>
      </c>
      <c r="F25" s="597" t="s">
        <v>1762</v>
      </c>
      <c r="J25" s="597">
        <f t="shared" si="14"/>
        <v>-1</v>
      </c>
      <c r="W25" s="597" t="s">
        <v>1783</v>
      </c>
      <c r="AI25" s="597">
        <f t="shared" ref="AI25" si="18">$B25</f>
        <v>-1</v>
      </c>
    </row>
    <row r="26" spans="1:45" x14ac:dyDescent="0.2">
      <c r="A26" t="s">
        <v>1756</v>
      </c>
      <c r="B26" s="597">
        <f>IFERROR(VLOOKUP(A26,Skills!$A$81:$H$106,8,FALSE)*1,-1)</f>
        <v>-1</v>
      </c>
      <c r="C26" s="597">
        <f t="shared" si="3"/>
        <v>-1</v>
      </c>
      <c r="D26">
        <v>9</v>
      </c>
      <c r="E26" s="697" t="s">
        <v>81</v>
      </c>
      <c r="F26" s="597" t="s">
        <v>1762</v>
      </c>
      <c r="J26" s="597">
        <f t="shared" si="14"/>
        <v>-1</v>
      </c>
      <c r="W26" s="5" t="s">
        <v>1966</v>
      </c>
      <c r="AQ26" s="749">
        <f t="shared" ref="AQ26:AS26" si="19">$B26</f>
        <v>-1</v>
      </c>
      <c r="AS26" s="597">
        <f t="shared" si="19"/>
        <v>-1</v>
      </c>
    </row>
    <row r="27" spans="1:45" x14ac:dyDescent="0.2">
      <c r="A27" t="s">
        <v>1802</v>
      </c>
      <c r="B27" s="597">
        <f>IFERROR(VLOOKUP(A27,Skills!$A$81:$H$106,8,FALSE)*1,-1)</f>
        <v>-1</v>
      </c>
      <c r="C27" s="597">
        <f t="shared" si="3"/>
        <v>-1</v>
      </c>
      <c r="D27">
        <v>9</v>
      </c>
      <c r="E27" s="697" t="s">
        <v>1887</v>
      </c>
      <c r="F27" s="597" t="s">
        <v>1762</v>
      </c>
      <c r="J27" s="597">
        <f t="shared" si="14"/>
        <v>-1</v>
      </c>
      <c r="W27" s="597" t="s">
        <v>1777</v>
      </c>
      <c r="AC27" s="597">
        <f t="shared" ref="AC27" si="20">$B27</f>
        <v>-1</v>
      </c>
    </row>
    <row r="28" spans="1:45" s="687" customFormat="1" x14ac:dyDescent="0.2">
      <c r="A28" s="687" t="s">
        <v>1882</v>
      </c>
      <c r="B28" s="687">
        <f>IFERROR(VLOOKUP(A28,Skills!$A$81:$H$106,8,FALSE)*1,-1)</f>
        <v>-1</v>
      </c>
      <c r="C28" s="687">
        <f t="shared" ref="C28:C30" si="21">MAX(B28,
TRUNC(HLOOKUP(F28,$G$1:$U$2,2,FALSE)/4,0)-1,
IFERROR(IF(ISERR(FIND(",",W28)),TRUNC(HLOOKUP(W28,$X$1:$AS$2,2,FALSE)/3,0)-1,MAX(TRUNC(HLOOKUP(LEFT(W28,FIND(",",W28)-1),$X$1:$AS$2,2,FALSE)/3,0)-1,TRUNC(HLOOKUP(MID(W28,FIND(",",W28)+2,99),$X$1:$AS$2,2,FALSE)/3,0)-1)),-1)
)</f>
        <v>-1</v>
      </c>
      <c r="D28" s="687">
        <v>9</v>
      </c>
      <c r="E28" s="697" t="s">
        <v>1885</v>
      </c>
      <c r="F28" s="687" t="s">
        <v>1762</v>
      </c>
      <c r="J28" s="687">
        <f t="shared" si="14"/>
        <v>-1</v>
      </c>
      <c r="K28" s="750"/>
      <c r="W28" s="687" t="s">
        <v>1779</v>
      </c>
      <c r="AE28" s="687">
        <f t="shared" ref="AE28" si="22">$B28</f>
        <v>-1</v>
      </c>
      <c r="AQ28" s="749"/>
    </row>
    <row r="29" spans="1:45" s="749" customFormat="1" x14ac:dyDescent="0.2">
      <c r="A29" s="5" t="s">
        <v>1963</v>
      </c>
      <c r="B29" s="749">
        <f>IFERROR(VLOOKUP(A29,Skills!$A$81:$H$106,8,FALSE)*1,-1)</f>
        <v>-1</v>
      </c>
      <c r="C29" s="749">
        <f t="shared" si="21"/>
        <v>-1</v>
      </c>
      <c r="D29" s="749">
        <v>9</v>
      </c>
      <c r="E29" s="4" t="s">
        <v>1891</v>
      </c>
      <c r="F29" s="749" t="s">
        <v>1762</v>
      </c>
      <c r="J29" s="749">
        <f t="shared" si="14"/>
        <v>-1</v>
      </c>
      <c r="K29" s="750"/>
      <c r="W29" s="5" t="s">
        <v>1967</v>
      </c>
      <c r="AF29" s="749">
        <f t="shared" ref="AF29" si="23">$B29</f>
        <v>-1</v>
      </c>
    </row>
    <row r="30" spans="1:45" s="749" customFormat="1" x14ac:dyDescent="0.2">
      <c r="A30" s="5" t="s">
        <v>1964</v>
      </c>
      <c r="B30" s="749">
        <f>IFERROR(VLOOKUP(A30,Skills!$A$81:$H$106,8,FALSE)*1,-1)</f>
        <v>-1</v>
      </c>
      <c r="C30" s="749">
        <f t="shared" si="21"/>
        <v>-1</v>
      </c>
      <c r="D30" s="749">
        <v>9</v>
      </c>
      <c r="E30" s="4" t="s">
        <v>1891</v>
      </c>
      <c r="F30" s="749" t="s">
        <v>1762</v>
      </c>
      <c r="J30" s="749">
        <f t="shared" si="14"/>
        <v>-1</v>
      </c>
      <c r="K30" s="750"/>
      <c r="W30" s="5" t="s">
        <v>1965</v>
      </c>
      <c r="AQ30" s="749">
        <f t="shared" ref="AQ30:AQ33" si="24">$B30</f>
        <v>-1</v>
      </c>
    </row>
    <row r="31" spans="1:45" s="750" customFormat="1" x14ac:dyDescent="0.2">
      <c r="A31" s="5" t="s">
        <v>1969</v>
      </c>
      <c r="B31" s="750">
        <f>IFERROR(VLOOKUP(A31,Skills!$A$81:$H$106,8,FALSE)*1,-1)</f>
        <v>-1</v>
      </c>
      <c r="C31" s="750">
        <f t="shared" ref="C31:C32" si="25">MAX(B31,
TRUNC(HLOOKUP(F31,$G$1:$U$2,2,FALSE)/4,0)-1,
IFERROR(IF(ISERR(FIND(",",W31)),TRUNC(HLOOKUP(W31,$X$1:$AS$2,2,FALSE)/3,0)-1,MAX(TRUNC(HLOOKUP(LEFT(W31,FIND(",",W31)-1),$X$1:$AS$2,2,FALSE)/3,0)-1,TRUNC(HLOOKUP(MID(W31,FIND(",",W31)+2,99),$X$1:$AS$2,2,FALSE)/3,0)-1)),-1)
)</f>
        <v>-1</v>
      </c>
      <c r="D31" s="750">
        <v>9</v>
      </c>
      <c r="E31" s="4" t="s">
        <v>1889</v>
      </c>
      <c r="F31" s="5" t="s">
        <v>1968</v>
      </c>
      <c r="K31" s="750">
        <f t="shared" si="14"/>
        <v>-1</v>
      </c>
      <c r="W31" s="5" t="s">
        <v>1777</v>
      </c>
      <c r="AC31" s="750">
        <f t="shared" ref="AC31:AC32" si="26">$B31</f>
        <v>-1</v>
      </c>
    </row>
    <row r="32" spans="1:45" s="750" customFormat="1" x14ac:dyDescent="0.2">
      <c r="A32" s="5" t="s">
        <v>1970</v>
      </c>
      <c r="B32" s="750">
        <f>IFERROR(VLOOKUP(A32,Skills!$A$81:$H$106,8,FALSE)*1,-1)</f>
        <v>-1</v>
      </c>
      <c r="C32" s="750">
        <f t="shared" si="25"/>
        <v>-1</v>
      </c>
      <c r="D32" s="750">
        <v>9</v>
      </c>
      <c r="E32" s="4" t="s">
        <v>1889</v>
      </c>
      <c r="F32" s="5" t="s">
        <v>1968</v>
      </c>
      <c r="K32" s="750">
        <f t="shared" si="14"/>
        <v>-1</v>
      </c>
      <c r="W32" s="5" t="s">
        <v>1777</v>
      </c>
      <c r="AC32" s="750">
        <f t="shared" si="26"/>
        <v>-1</v>
      </c>
    </row>
    <row r="33" spans="1:43" x14ac:dyDescent="0.2">
      <c r="A33" t="s">
        <v>1803</v>
      </c>
      <c r="B33" s="597">
        <f>IFERROR(VLOOKUP(A33,Skills!$A$81:$H$106,8,FALSE)*1,-1)</f>
        <v>-1</v>
      </c>
      <c r="C33" s="597">
        <f t="shared" si="3"/>
        <v>-1</v>
      </c>
      <c r="D33">
        <v>7</v>
      </c>
      <c r="F33" s="597" t="s">
        <v>1763</v>
      </c>
      <c r="L33" s="597">
        <f t="shared" si="14"/>
        <v>-1</v>
      </c>
      <c r="W33" s="597" t="s">
        <v>1783</v>
      </c>
      <c r="AI33" s="597">
        <f t="shared" ref="AI33:AI37" si="27">$B33</f>
        <v>-1</v>
      </c>
      <c r="AQ33" s="749">
        <f t="shared" si="24"/>
        <v>-1</v>
      </c>
    </row>
    <row r="34" spans="1:43" x14ac:dyDescent="0.2">
      <c r="A34" t="s">
        <v>1804</v>
      </c>
      <c r="B34" s="597">
        <f>IFERROR(VLOOKUP(A34,Skills!$A$81:$H$106,8,FALSE)*1,-1)</f>
        <v>-1</v>
      </c>
      <c r="C34" s="597">
        <f t="shared" si="3"/>
        <v>-1</v>
      </c>
      <c r="D34">
        <v>10</v>
      </c>
      <c r="E34" s="697" t="s">
        <v>1914</v>
      </c>
      <c r="F34" s="597" t="s">
        <v>1763</v>
      </c>
      <c r="L34" s="597">
        <f t="shared" si="14"/>
        <v>-1</v>
      </c>
      <c r="W34" s="597" t="s">
        <v>1783</v>
      </c>
      <c r="AI34" s="597">
        <f t="shared" si="27"/>
        <v>-1</v>
      </c>
    </row>
    <row r="35" spans="1:43" x14ac:dyDescent="0.2">
      <c r="A35" t="s">
        <v>514</v>
      </c>
      <c r="B35" s="597">
        <f>IFERROR(VLOOKUP(A35,Skills!$A$81:$H$106,8,FALSE)*1,-1)</f>
        <v>-1</v>
      </c>
      <c r="C35" s="597">
        <f t="shared" si="3"/>
        <v>-1</v>
      </c>
      <c r="D35">
        <v>7</v>
      </c>
      <c r="F35" s="597" t="s">
        <v>1763</v>
      </c>
      <c r="L35" s="597">
        <f t="shared" si="14"/>
        <v>-1</v>
      </c>
      <c r="W35" s="597" t="s">
        <v>1783</v>
      </c>
      <c r="AI35" s="597">
        <f t="shared" si="27"/>
        <v>-1</v>
      </c>
    </row>
    <row r="36" spans="1:43" x14ac:dyDescent="0.2">
      <c r="A36" t="s">
        <v>1805</v>
      </c>
      <c r="B36" s="597">
        <f>IFERROR(VLOOKUP(A36,Skills!$A$81:$H$106,8,FALSE)*1,-1)</f>
        <v>-1</v>
      </c>
      <c r="C36" s="597">
        <f t="shared" si="3"/>
        <v>-1</v>
      </c>
      <c r="D36">
        <v>9</v>
      </c>
      <c r="F36" s="597" t="s">
        <v>1763</v>
      </c>
      <c r="L36" s="597">
        <f t="shared" si="14"/>
        <v>-1</v>
      </c>
      <c r="W36" s="597" t="s">
        <v>1783</v>
      </c>
      <c r="AI36" s="597">
        <f t="shared" si="27"/>
        <v>-1</v>
      </c>
    </row>
    <row r="37" spans="1:43" x14ac:dyDescent="0.2">
      <c r="A37" t="s">
        <v>1806</v>
      </c>
      <c r="B37" s="597">
        <f>IFERROR(VLOOKUP(A37,Skills!$A$81:$H$106,8,FALSE)*1,-1)</f>
        <v>-1</v>
      </c>
      <c r="C37" s="597">
        <f t="shared" si="3"/>
        <v>-1</v>
      </c>
      <c r="D37">
        <v>8</v>
      </c>
      <c r="E37" s="4" t="s">
        <v>1883</v>
      </c>
      <c r="F37" s="597" t="s">
        <v>1763</v>
      </c>
      <c r="L37" s="597">
        <f t="shared" si="14"/>
        <v>-1</v>
      </c>
      <c r="W37" s="597" t="s">
        <v>1783</v>
      </c>
      <c r="AI37" s="597">
        <f t="shared" si="27"/>
        <v>-1</v>
      </c>
    </row>
    <row r="38" spans="1:43" x14ac:dyDescent="0.2">
      <c r="A38" t="s">
        <v>1807</v>
      </c>
      <c r="B38" s="597">
        <f>IFERROR(VLOOKUP(A38,Skills!$A$81:$H$106,8,FALSE)*1,-1)</f>
        <v>-1</v>
      </c>
      <c r="C38" s="597">
        <f t="shared" si="3"/>
        <v>-1</v>
      </c>
      <c r="D38">
        <v>3</v>
      </c>
      <c r="F38" s="597" t="s">
        <v>1763</v>
      </c>
      <c r="L38" s="597">
        <f t="shared" si="14"/>
        <v>-1</v>
      </c>
      <c r="W38" s="597"/>
    </row>
    <row r="39" spans="1:43" x14ac:dyDescent="0.2">
      <c r="A39" t="s">
        <v>1808</v>
      </c>
      <c r="B39" s="597">
        <f>IFERROR(VLOOKUP(A39,Skills!$A$81:$H$106,8,FALSE)*1,-1)</f>
        <v>-1</v>
      </c>
      <c r="C39" s="597">
        <f t="shared" si="3"/>
        <v>-1</v>
      </c>
      <c r="D39">
        <v>6</v>
      </c>
      <c r="F39" s="597" t="s">
        <v>1763</v>
      </c>
      <c r="L39" s="597">
        <f t="shared" si="14"/>
        <v>-1</v>
      </c>
      <c r="W39" s="597" t="s">
        <v>1783</v>
      </c>
      <c r="AI39" s="597">
        <f t="shared" ref="AI39:AI40" si="28">$B39</f>
        <v>-1</v>
      </c>
    </row>
    <row r="40" spans="1:43" x14ac:dyDescent="0.2">
      <c r="A40" t="s">
        <v>1809</v>
      </c>
      <c r="B40" s="597">
        <f>IFERROR(VLOOKUP(A40,Skills!$A$81:$H$106,8,FALSE)*1,-1)</f>
        <v>-1</v>
      </c>
      <c r="C40" s="597">
        <f t="shared" si="3"/>
        <v>-1</v>
      </c>
      <c r="D40">
        <v>9</v>
      </c>
      <c r="E40" s="4" t="s">
        <v>1883</v>
      </c>
      <c r="F40" s="597" t="s">
        <v>1763</v>
      </c>
      <c r="L40" s="597">
        <f t="shared" si="14"/>
        <v>-1</v>
      </c>
      <c r="W40" s="597" t="s">
        <v>1783</v>
      </c>
      <c r="AI40" s="597">
        <f t="shared" si="28"/>
        <v>-1</v>
      </c>
    </row>
    <row r="41" spans="1:43" x14ac:dyDescent="0.2">
      <c r="A41" t="s">
        <v>1810</v>
      </c>
      <c r="B41" s="597">
        <f>IFERROR(VLOOKUP(A41,Skills!$A$81:$H$106,8,FALSE)*1,-1)</f>
        <v>-1</v>
      </c>
      <c r="C41" s="597">
        <f t="shared" si="3"/>
        <v>-1</v>
      </c>
      <c r="D41">
        <v>10</v>
      </c>
      <c r="E41" s="4" t="s">
        <v>1886</v>
      </c>
      <c r="F41" s="597" t="s">
        <v>1764</v>
      </c>
      <c r="M41" s="597">
        <f t="shared" si="14"/>
        <v>-1</v>
      </c>
      <c r="W41" s="597" t="s">
        <v>1775</v>
      </c>
      <c r="Y41" s="597">
        <f t="shared" ref="Y41:Y43" si="29">$B41</f>
        <v>-1</v>
      </c>
    </row>
    <row r="42" spans="1:43" x14ac:dyDescent="0.2">
      <c r="A42" t="s">
        <v>1811</v>
      </c>
      <c r="B42" s="597">
        <f>IFERROR(VLOOKUP(A42,Skills!$A$81:$H$106,8,FALSE)*1,-1)</f>
        <v>-1</v>
      </c>
      <c r="C42" s="597">
        <f t="shared" si="3"/>
        <v>-1</v>
      </c>
      <c r="D42">
        <v>9</v>
      </c>
      <c r="E42" s="4" t="s">
        <v>1886</v>
      </c>
      <c r="F42" s="597" t="s">
        <v>1764</v>
      </c>
      <c r="M42" s="597">
        <f t="shared" si="14"/>
        <v>-1</v>
      </c>
      <c r="W42" s="597" t="s">
        <v>1775</v>
      </c>
      <c r="Y42" s="597">
        <f t="shared" si="29"/>
        <v>-1</v>
      </c>
    </row>
    <row r="43" spans="1:43" x14ac:dyDescent="0.2">
      <c r="A43" t="s">
        <v>1812</v>
      </c>
      <c r="B43" s="597">
        <f>IFERROR(VLOOKUP(A43,Skills!$A$81:$H$106,8,FALSE)*1,-1)</f>
        <v>-1</v>
      </c>
      <c r="C43" s="597">
        <f t="shared" si="3"/>
        <v>-1</v>
      </c>
      <c r="D43">
        <v>8</v>
      </c>
      <c r="E43" s="4" t="s">
        <v>1886</v>
      </c>
      <c r="F43" s="597" t="s">
        <v>1764</v>
      </c>
      <c r="M43" s="597">
        <f t="shared" ref="M43:P58" si="30">$B43</f>
        <v>-1</v>
      </c>
      <c r="W43" s="597" t="s">
        <v>1775</v>
      </c>
      <c r="Y43" s="597">
        <f t="shared" si="29"/>
        <v>-1</v>
      </c>
    </row>
    <row r="44" spans="1:43" x14ac:dyDescent="0.2">
      <c r="A44" t="s">
        <v>1833</v>
      </c>
      <c r="B44" s="597">
        <f>IFERROR(VLOOKUP(A44,Skills!$A$81:$H$106,8,FALSE)*1,-1)</f>
        <v>-1</v>
      </c>
      <c r="C44" s="597">
        <f t="shared" si="3"/>
        <v>-1</v>
      </c>
      <c r="D44">
        <v>10</v>
      </c>
      <c r="E44" s="4" t="s">
        <v>1884</v>
      </c>
      <c r="F44" s="597" t="s">
        <v>1765</v>
      </c>
      <c r="N44" s="597">
        <f t="shared" si="30"/>
        <v>-1</v>
      </c>
      <c r="W44" s="597" t="s">
        <v>1843</v>
      </c>
      <c r="Z44" s="597">
        <f t="shared" ref="Z44:AA50" si="31">$B44</f>
        <v>-1</v>
      </c>
      <c r="AP44" s="597">
        <f t="shared" ref="AP44" si="32">$B44</f>
        <v>-1</v>
      </c>
    </row>
    <row r="45" spans="1:43" x14ac:dyDescent="0.2">
      <c r="A45" t="s">
        <v>1813</v>
      </c>
      <c r="B45" s="597">
        <f>IFERROR(VLOOKUP(A45,Skills!$A$81:$H$106,8,FALSE)*1,-1)</f>
        <v>-1</v>
      </c>
      <c r="C45" s="597">
        <f t="shared" si="3"/>
        <v>-1</v>
      </c>
      <c r="D45">
        <v>10</v>
      </c>
      <c r="E45" s="4" t="s">
        <v>81</v>
      </c>
      <c r="F45" s="597" t="s">
        <v>1765</v>
      </c>
      <c r="N45" s="597">
        <f t="shared" si="30"/>
        <v>-1</v>
      </c>
      <c r="W45" s="597" t="s">
        <v>1838</v>
      </c>
      <c r="Z45" s="597">
        <f t="shared" si="31"/>
        <v>-1</v>
      </c>
      <c r="AH45" s="597">
        <f t="shared" ref="AH45" si="33">$B45</f>
        <v>-1</v>
      </c>
    </row>
    <row r="46" spans="1:43" x14ac:dyDescent="0.2">
      <c r="A46" t="s">
        <v>470</v>
      </c>
      <c r="B46" s="597">
        <f>IFERROR(VLOOKUP(A46,Skills!$A$81:$H$106,8,FALSE)*1,-1)</f>
        <v>-1</v>
      </c>
      <c r="C46" s="597">
        <f t="shared" si="3"/>
        <v>-1</v>
      </c>
      <c r="D46">
        <v>10</v>
      </c>
      <c r="E46" s="4" t="s">
        <v>1884</v>
      </c>
      <c r="F46" s="597" t="s">
        <v>1765</v>
      </c>
      <c r="N46" s="597">
        <f t="shared" si="30"/>
        <v>-1</v>
      </c>
      <c r="W46" s="597" t="s">
        <v>1843</v>
      </c>
      <c r="Z46" s="597">
        <f t="shared" si="31"/>
        <v>-1</v>
      </c>
      <c r="AP46" s="597">
        <f t="shared" ref="AP46" si="34">$B46</f>
        <v>-1</v>
      </c>
    </row>
    <row r="47" spans="1:43" x14ac:dyDescent="0.2">
      <c r="A47" t="s">
        <v>1814</v>
      </c>
      <c r="B47" s="597">
        <f>IFERROR(VLOOKUP(A47,Skills!$A$81:$H$106,8,FALSE)*1,-1)</f>
        <v>-1</v>
      </c>
      <c r="C47" s="597">
        <f t="shared" si="3"/>
        <v>-1</v>
      </c>
      <c r="D47">
        <v>10</v>
      </c>
      <c r="E47" s="4" t="s">
        <v>1888</v>
      </c>
      <c r="F47" s="597" t="s">
        <v>1765</v>
      </c>
      <c r="N47" s="597">
        <f t="shared" si="30"/>
        <v>-1</v>
      </c>
      <c r="W47" s="597" t="s">
        <v>470</v>
      </c>
      <c r="Z47" s="597">
        <f t="shared" si="31"/>
        <v>-1</v>
      </c>
    </row>
    <row r="48" spans="1:43" x14ac:dyDescent="0.2">
      <c r="A48" t="s">
        <v>525</v>
      </c>
      <c r="B48" s="597">
        <f>IFERROR(VLOOKUP(A48,Skills!$A$81:$H$106,8,FALSE)*1,-1)</f>
        <v>-1</v>
      </c>
      <c r="C48" s="597">
        <f t="shared" si="3"/>
        <v>-1</v>
      </c>
      <c r="D48">
        <v>7</v>
      </c>
      <c r="E48" s="4" t="s">
        <v>1884</v>
      </c>
      <c r="F48" s="597" t="s">
        <v>1765</v>
      </c>
      <c r="N48" s="597">
        <f t="shared" si="30"/>
        <v>-1</v>
      </c>
      <c r="W48" s="597" t="s">
        <v>1782</v>
      </c>
      <c r="Z48" s="597"/>
      <c r="AH48" s="597">
        <f t="shared" ref="AH48" si="35">$B48</f>
        <v>-1</v>
      </c>
    </row>
    <row r="49" spans="1:44" x14ac:dyDescent="0.2">
      <c r="A49" t="s">
        <v>502</v>
      </c>
      <c r="B49" s="597">
        <f>IFERROR(VLOOKUP(A49,Skills!$A$81:$H$106,8,FALSE)*1,-1)</f>
        <v>-1</v>
      </c>
      <c r="C49" s="597">
        <f t="shared" si="3"/>
        <v>-1</v>
      </c>
      <c r="D49">
        <v>4</v>
      </c>
      <c r="F49" s="597" t="s">
        <v>1765</v>
      </c>
      <c r="N49" s="597">
        <f t="shared" si="30"/>
        <v>-1</v>
      </c>
      <c r="W49" s="597" t="s">
        <v>470</v>
      </c>
      <c r="Z49" s="597">
        <f t="shared" si="31"/>
        <v>-1</v>
      </c>
    </row>
    <row r="50" spans="1:44" x14ac:dyDescent="0.2">
      <c r="A50" t="s">
        <v>505</v>
      </c>
      <c r="B50" s="597">
        <f>IFERROR(VLOOKUP(A50,Skills!$A$81:$H$106,8,FALSE)*1,-1)</f>
        <v>-1</v>
      </c>
      <c r="C50" s="597">
        <f t="shared" si="3"/>
        <v>-1</v>
      </c>
      <c r="D50">
        <v>9</v>
      </c>
      <c r="E50" s="697" t="s">
        <v>1885</v>
      </c>
      <c r="F50" s="597" t="s">
        <v>1766</v>
      </c>
      <c r="O50" s="597">
        <f t="shared" si="30"/>
        <v>-1</v>
      </c>
      <c r="W50" s="597" t="s">
        <v>1835</v>
      </c>
      <c r="AA50" s="597">
        <f t="shared" si="31"/>
        <v>-1</v>
      </c>
      <c r="AE50" s="597">
        <f t="shared" ref="AE50:AE56" si="36">$B50</f>
        <v>-1</v>
      </c>
    </row>
    <row r="51" spans="1:44" x14ac:dyDescent="0.2">
      <c r="A51" t="s">
        <v>1815</v>
      </c>
      <c r="B51" s="597">
        <f>IFERROR(VLOOKUP(A51,Skills!$A$81:$H$106,8,FALSE)*1,-1)</f>
        <v>-1</v>
      </c>
      <c r="C51" s="597">
        <f>MAX(B51,
TRUNC(HLOOKUP(F51,$G$1:$U$2,2,FALSE)/4,0)-1,
TRUNC(HLOOKUP(LEFT(W51,7),$X$1:$AS$2,2,FALSE)/3,0)-1,
TRUNC(HLOOKUP(MID(W51,10,5),$X$1:$AS$2,2,FALSE)/3,0)-1,
TRUNC(HLOOKUP(MID(W51,17,8),$X$1:$AS$2,2,FALSE)/3,0)-1
)</f>
        <v>-1</v>
      </c>
      <c r="D51">
        <v>10</v>
      </c>
      <c r="E51" s="697" t="s">
        <v>1884</v>
      </c>
      <c r="F51" s="597" t="s">
        <v>1766</v>
      </c>
      <c r="O51" s="597">
        <f t="shared" si="30"/>
        <v>-1</v>
      </c>
      <c r="W51" s="597" t="s">
        <v>1844</v>
      </c>
      <c r="X51" s="597">
        <f t="shared" ref="X51" si="37">$B51</f>
        <v>-1</v>
      </c>
      <c r="AE51" s="597">
        <f t="shared" si="36"/>
        <v>-1</v>
      </c>
      <c r="AP51" s="597">
        <f t="shared" ref="AP51" si="38">$B51</f>
        <v>-1</v>
      </c>
    </row>
    <row r="52" spans="1:44" x14ac:dyDescent="0.2">
      <c r="A52" t="s">
        <v>1816</v>
      </c>
      <c r="B52" s="597">
        <f>IFERROR(VLOOKUP(A52,Skills!$A$81:$H$106,8,FALSE)*1,-1)</f>
        <v>-1</v>
      </c>
      <c r="C52" s="597">
        <f t="shared" si="3"/>
        <v>-1</v>
      </c>
      <c r="D52">
        <v>9</v>
      </c>
      <c r="E52" s="697" t="s">
        <v>1915</v>
      </c>
      <c r="F52" s="597" t="s">
        <v>1766</v>
      </c>
      <c r="O52" s="597">
        <f t="shared" si="30"/>
        <v>-1</v>
      </c>
      <c r="W52" s="597" t="s">
        <v>1780</v>
      </c>
      <c r="AE52" s="597"/>
      <c r="AF52" s="597">
        <f t="shared" ref="AF52:AF53" si="39">$B52</f>
        <v>-1</v>
      </c>
    </row>
    <row r="53" spans="1:44" x14ac:dyDescent="0.2">
      <c r="A53" t="s">
        <v>165</v>
      </c>
      <c r="B53" s="597">
        <f>IFERROR(VLOOKUP(A53,Skills!$A$81:$H$106,8,FALSE)*1,-1)</f>
        <v>-1</v>
      </c>
      <c r="C53" s="597">
        <f t="shared" si="3"/>
        <v>-1</v>
      </c>
      <c r="D53">
        <v>10</v>
      </c>
      <c r="E53" s="697" t="s">
        <v>1885</v>
      </c>
      <c r="F53" s="597" t="s">
        <v>1766</v>
      </c>
      <c r="O53" s="597">
        <f t="shared" si="30"/>
        <v>-1</v>
      </c>
      <c r="W53" s="597" t="s">
        <v>1836</v>
      </c>
      <c r="AE53" s="597">
        <f t="shared" si="36"/>
        <v>-1</v>
      </c>
      <c r="AF53" s="597">
        <f t="shared" si="39"/>
        <v>-1</v>
      </c>
    </row>
    <row r="54" spans="1:44" x14ac:dyDescent="0.2">
      <c r="A54" t="s">
        <v>508</v>
      </c>
      <c r="B54" s="597">
        <f>IFERROR(VLOOKUP(A54,Skills!$A$81:$H$106,8,FALSE)*1,-1)</f>
        <v>-1</v>
      </c>
      <c r="C54" s="597">
        <f t="shared" si="3"/>
        <v>-1</v>
      </c>
      <c r="D54">
        <v>10</v>
      </c>
      <c r="E54" s="697" t="s">
        <v>81</v>
      </c>
      <c r="F54" s="597" t="s">
        <v>1766</v>
      </c>
      <c r="O54" s="597">
        <f t="shared" si="30"/>
        <v>-1</v>
      </c>
      <c r="W54" s="597" t="s">
        <v>1779</v>
      </c>
      <c r="AE54" s="597">
        <f t="shared" si="36"/>
        <v>-1</v>
      </c>
    </row>
    <row r="55" spans="1:44" x14ac:dyDescent="0.2">
      <c r="A55" t="s">
        <v>1817</v>
      </c>
      <c r="B55" s="597">
        <f>IFERROR(VLOOKUP(A55,Skills!$A$81:$H$106,8,FALSE)*1,-1)</f>
        <v>-1</v>
      </c>
      <c r="C55" s="597">
        <f t="shared" si="3"/>
        <v>-1</v>
      </c>
      <c r="D55">
        <v>10</v>
      </c>
      <c r="E55" s="697" t="s">
        <v>81</v>
      </c>
      <c r="F55" s="597" t="s">
        <v>1766</v>
      </c>
      <c r="O55" s="597">
        <f t="shared" si="30"/>
        <v>-1</v>
      </c>
      <c r="W55" s="597" t="s">
        <v>1834</v>
      </c>
      <c r="X55" s="597">
        <f t="shared" ref="X55" si="40">$B55</f>
        <v>-1</v>
      </c>
      <c r="AE55" s="597"/>
    </row>
    <row r="56" spans="1:44" x14ac:dyDescent="0.2">
      <c r="A56" t="s">
        <v>1818</v>
      </c>
      <c r="B56" s="597">
        <f>IFERROR(VLOOKUP(A56,Skills!$A$81:$H$106,8,FALSE)*1,-1)</f>
        <v>-1</v>
      </c>
      <c r="C56" s="597">
        <f t="shared" si="3"/>
        <v>-1</v>
      </c>
      <c r="D56">
        <v>9</v>
      </c>
      <c r="E56" s="697" t="s">
        <v>81</v>
      </c>
      <c r="F56" s="597" t="s">
        <v>1766</v>
      </c>
      <c r="O56" s="597">
        <f t="shared" si="30"/>
        <v>-1</v>
      </c>
      <c r="W56" s="597"/>
      <c r="AE56" s="597">
        <f t="shared" si="36"/>
        <v>-1</v>
      </c>
    </row>
    <row r="57" spans="1:44" x14ac:dyDescent="0.2">
      <c r="A57" t="s">
        <v>1819</v>
      </c>
      <c r="B57" s="597">
        <f>IFERROR(VLOOKUP(A57,Skills!$A$81:$H$106,8,FALSE)*1,-1)</f>
        <v>-1</v>
      </c>
      <c r="C57" s="597">
        <f t="shared" si="3"/>
        <v>-1</v>
      </c>
      <c r="D57">
        <v>8</v>
      </c>
      <c r="E57" s="697" t="s">
        <v>81</v>
      </c>
      <c r="F57" s="597" t="s">
        <v>1766</v>
      </c>
      <c r="O57" s="597">
        <f t="shared" si="30"/>
        <v>-1</v>
      </c>
      <c r="W57" s="597" t="s">
        <v>1774</v>
      </c>
      <c r="X57" s="597">
        <f t="shared" ref="X57" si="41">$B57</f>
        <v>-1</v>
      </c>
    </row>
    <row r="58" spans="1:44" x14ac:dyDescent="0.2">
      <c r="A58" t="s">
        <v>503</v>
      </c>
      <c r="B58" s="597">
        <f>IFERROR(VLOOKUP(A58,Skills!$A$81:$H$106,8,FALSE)*1,-1)</f>
        <v>-1</v>
      </c>
      <c r="C58" s="597">
        <f t="shared" si="3"/>
        <v>-1</v>
      </c>
      <c r="D58">
        <v>7</v>
      </c>
      <c r="F58" s="597" t="s">
        <v>1767</v>
      </c>
      <c r="P58" s="597">
        <f t="shared" si="30"/>
        <v>-1</v>
      </c>
      <c r="W58" s="597" t="s">
        <v>1791</v>
      </c>
      <c r="AR58" s="597">
        <f t="shared" ref="AR58" si="42">$B58</f>
        <v>-1</v>
      </c>
    </row>
    <row r="59" spans="1:44" x14ac:dyDescent="0.2">
      <c r="A59" t="s">
        <v>482</v>
      </c>
      <c r="B59" s="597">
        <f>IFERROR(VLOOKUP(A59,Skills!$A$81:$H$106,8,FALSE)*1,-1)</f>
        <v>-1</v>
      </c>
      <c r="C59" s="597">
        <f t="shared" si="3"/>
        <v>-1</v>
      </c>
      <c r="D59">
        <v>9</v>
      </c>
      <c r="E59" s="697" t="s">
        <v>1886</v>
      </c>
      <c r="F59" s="597" t="s">
        <v>1767</v>
      </c>
      <c r="P59" s="597">
        <f t="shared" ref="P59:R74" si="43">$B59</f>
        <v>-1</v>
      </c>
      <c r="W59" s="597" t="s">
        <v>1841</v>
      </c>
      <c r="AD59" s="597">
        <f t="shared" ref="AD59" si="44">$B59</f>
        <v>-1</v>
      </c>
      <c r="AN59" s="597">
        <f t="shared" ref="AN59:AN60" si="45">$B59</f>
        <v>-1</v>
      </c>
    </row>
    <row r="60" spans="1:44" x14ac:dyDescent="0.2">
      <c r="A60" t="s">
        <v>484</v>
      </c>
      <c r="B60" s="597">
        <f>IFERROR(VLOOKUP(A60,Skills!$A$81:$H$106,8,FALSE)*1,-1)</f>
        <v>-1</v>
      </c>
      <c r="C60" s="597">
        <f t="shared" si="3"/>
        <v>-1</v>
      </c>
      <c r="D60">
        <v>6</v>
      </c>
      <c r="F60" s="597" t="s">
        <v>1767</v>
      </c>
      <c r="P60" s="597">
        <f t="shared" si="43"/>
        <v>-1</v>
      </c>
      <c r="W60" s="597" t="s">
        <v>1788</v>
      </c>
      <c r="AN60" s="597">
        <f t="shared" si="45"/>
        <v>-1</v>
      </c>
    </row>
    <row r="61" spans="1:44" x14ac:dyDescent="0.2">
      <c r="A61" t="s">
        <v>1820</v>
      </c>
      <c r="B61" s="597">
        <f>IFERROR(VLOOKUP(A61,Skills!$A$81:$H$106,8,FALSE)*1,-1)</f>
        <v>-1</v>
      </c>
      <c r="C61" s="597">
        <f t="shared" si="3"/>
        <v>-1</v>
      </c>
      <c r="D61">
        <v>6</v>
      </c>
      <c r="F61" s="597" t="s">
        <v>1767</v>
      </c>
      <c r="P61" s="597">
        <f t="shared" si="43"/>
        <v>-1</v>
      </c>
      <c r="W61" s="597" t="s">
        <v>1842</v>
      </c>
      <c r="AG61" s="597">
        <f t="shared" ref="AG61" si="46">$B61</f>
        <v>-1</v>
      </c>
      <c r="AO61" s="597">
        <f t="shared" ref="AO61" si="47">$B61</f>
        <v>-1</v>
      </c>
    </row>
    <row r="62" spans="1:44" x14ac:dyDescent="0.2">
      <c r="A62" t="s">
        <v>520</v>
      </c>
      <c r="B62" s="597">
        <f>IFERROR(VLOOKUP(A62,Skills!$A$81:$H$106,8,FALSE)*1,-1)</f>
        <v>-1</v>
      </c>
      <c r="C62" s="597">
        <f t="shared" si="3"/>
        <v>-1</v>
      </c>
      <c r="D62">
        <v>6</v>
      </c>
      <c r="F62" s="597" t="s">
        <v>1767</v>
      </c>
      <c r="P62" s="597">
        <f t="shared" si="43"/>
        <v>-1</v>
      </c>
      <c r="W62" s="597" t="s">
        <v>1791</v>
      </c>
      <c r="AR62" s="597">
        <f t="shared" ref="AR62" si="48">$B62</f>
        <v>-1</v>
      </c>
    </row>
    <row r="63" spans="1:44" x14ac:dyDescent="0.2">
      <c r="A63" t="s">
        <v>495</v>
      </c>
      <c r="B63" s="597">
        <f>IFERROR(VLOOKUP(A63,Skills!$A$81:$H$106,8,FALSE)*1,-1)</f>
        <v>-1</v>
      </c>
      <c r="C63" s="597">
        <f t="shared" si="3"/>
        <v>-1</v>
      </c>
      <c r="D63">
        <v>6</v>
      </c>
      <c r="F63" s="597" t="s">
        <v>1767</v>
      </c>
      <c r="P63" s="597">
        <f t="shared" si="43"/>
        <v>-1</v>
      </c>
      <c r="W63" s="597" t="s">
        <v>1789</v>
      </c>
      <c r="AO63" s="597">
        <f t="shared" ref="AO63" si="49">$B63</f>
        <v>-1</v>
      </c>
    </row>
    <row r="64" spans="1:44" x14ac:dyDescent="0.2">
      <c r="A64" t="s">
        <v>496</v>
      </c>
      <c r="B64" s="597">
        <f>IFERROR(VLOOKUP(A64,Skills!$A$81:$H$106,8,FALSE)*1,-1)</f>
        <v>-1</v>
      </c>
      <c r="C64" s="597">
        <f t="shared" si="3"/>
        <v>-1</v>
      </c>
      <c r="D64">
        <v>7</v>
      </c>
      <c r="F64" s="597" t="s">
        <v>1767</v>
      </c>
      <c r="P64" s="597">
        <f t="shared" si="43"/>
        <v>-1</v>
      </c>
      <c r="W64" s="597" t="s">
        <v>1788</v>
      </c>
      <c r="AN64" s="597">
        <f t="shared" ref="AN64" si="50">$B64</f>
        <v>-1</v>
      </c>
    </row>
    <row r="65" spans="1:41" x14ac:dyDescent="0.2">
      <c r="A65" t="s">
        <v>1821</v>
      </c>
      <c r="B65" s="597">
        <f>IFERROR(VLOOKUP(A65,Skills!$A$81:$H$106,8,FALSE)*1,-1)</f>
        <v>-1</v>
      </c>
      <c r="C65" s="597">
        <f t="shared" si="3"/>
        <v>-1</v>
      </c>
      <c r="D65">
        <v>7</v>
      </c>
      <c r="F65" s="597" t="s">
        <v>1767</v>
      </c>
      <c r="P65" s="597">
        <f t="shared" si="43"/>
        <v>-1</v>
      </c>
      <c r="W65" s="597" t="s">
        <v>1789</v>
      </c>
      <c r="AO65" s="597">
        <f t="shared" ref="AO65" si="51">$B65</f>
        <v>-1</v>
      </c>
    </row>
    <row r="66" spans="1:41" x14ac:dyDescent="0.2">
      <c r="A66" t="s">
        <v>499</v>
      </c>
      <c r="B66" s="597">
        <f>IFERROR(VLOOKUP(A66,Skills!$A$81:$H$106,8,FALSE)*1,-1)</f>
        <v>-1</v>
      </c>
      <c r="C66" s="597">
        <f t="shared" si="3"/>
        <v>-1</v>
      </c>
      <c r="D66">
        <v>7</v>
      </c>
      <c r="F66" s="597" t="s">
        <v>1767</v>
      </c>
      <c r="P66" s="597">
        <f t="shared" si="43"/>
        <v>-1</v>
      </c>
      <c r="W66" s="597" t="s">
        <v>1788</v>
      </c>
      <c r="AN66" s="597">
        <f t="shared" ref="AN66:AN67" si="52">$B66</f>
        <v>-1</v>
      </c>
    </row>
    <row r="67" spans="1:41" x14ac:dyDescent="0.2">
      <c r="A67" t="s">
        <v>1822</v>
      </c>
      <c r="B67" s="597">
        <f>IFERROR(VLOOKUP(A67,Skills!$A$81:$H$106,8,FALSE)*1,-1)</f>
        <v>-1</v>
      </c>
      <c r="C67" s="597">
        <f t="shared" si="3"/>
        <v>-1</v>
      </c>
      <c r="D67">
        <v>6</v>
      </c>
      <c r="F67" s="597" t="s">
        <v>1767</v>
      </c>
      <c r="P67" s="597">
        <f t="shared" si="43"/>
        <v>-1</v>
      </c>
      <c r="W67" s="597" t="s">
        <v>1788</v>
      </c>
      <c r="AN67" s="597">
        <f t="shared" si="52"/>
        <v>-1</v>
      </c>
    </row>
    <row r="68" spans="1:41" x14ac:dyDescent="0.2">
      <c r="A68" t="s">
        <v>1823</v>
      </c>
      <c r="B68" s="597">
        <f>IFERROR(VLOOKUP(A68,Skills!$A$81:$H$106,8,FALSE)*1,-1)</f>
        <v>-1</v>
      </c>
      <c r="C68" s="597">
        <f t="shared" si="3"/>
        <v>-1</v>
      </c>
      <c r="D68">
        <v>8</v>
      </c>
      <c r="F68" s="597" t="s">
        <v>1768</v>
      </c>
      <c r="Q68" s="597">
        <f t="shared" si="43"/>
        <v>-1</v>
      </c>
      <c r="W68" s="597"/>
      <c r="AI68" s="597">
        <f t="shared" ref="AI68" si="53">$B68</f>
        <v>-1</v>
      </c>
    </row>
    <row r="69" spans="1:41" x14ac:dyDescent="0.2">
      <c r="A69" t="s">
        <v>485</v>
      </c>
      <c r="B69" s="597">
        <f>IFERROR(VLOOKUP(A69,Skills!$A$81:$H$106,8,FALSE)*1,-1)</f>
        <v>-1</v>
      </c>
      <c r="C69" s="597">
        <f t="shared" si="3"/>
        <v>-1</v>
      </c>
      <c r="D69">
        <v>6</v>
      </c>
      <c r="F69" s="597" t="s">
        <v>1768</v>
      </c>
      <c r="Q69" s="597">
        <f t="shared" si="43"/>
        <v>-1</v>
      </c>
      <c r="W69" s="597"/>
    </row>
    <row r="70" spans="1:41" x14ac:dyDescent="0.2">
      <c r="A70" t="s">
        <v>488</v>
      </c>
      <c r="B70" s="597">
        <f>IFERROR(VLOOKUP(A70,Skills!$A$81:$H$106,8,FALSE)*1,-1)</f>
        <v>-1</v>
      </c>
      <c r="C70" s="597">
        <f t="shared" si="3"/>
        <v>-1</v>
      </c>
      <c r="D70">
        <v>7</v>
      </c>
      <c r="F70" s="597" t="s">
        <v>1768</v>
      </c>
      <c r="Q70" s="597">
        <f t="shared" si="43"/>
        <v>-1</v>
      </c>
      <c r="W70" s="597"/>
    </row>
    <row r="71" spans="1:41" x14ac:dyDescent="0.2">
      <c r="A71" t="s">
        <v>1824</v>
      </c>
      <c r="B71" s="597">
        <f>IFERROR(VLOOKUP(A71,Skills!$A$81:$H$106,8,FALSE)*1,-1)</f>
        <v>-1</v>
      </c>
      <c r="C71" s="597">
        <f t="shared" si="3"/>
        <v>-1</v>
      </c>
      <c r="D71">
        <v>6</v>
      </c>
      <c r="F71" s="597" t="s">
        <v>1768</v>
      </c>
      <c r="Q71" s="597">
        <f t="shared" si="43"/>
        <v>-1</v>
      </c>
      <c r="W71" s="597"/>
    </row>
    <row r="72" spans="1:41" x14ac:dyDescent="0.2">
      <c r="A72" t="s">
        <v>1825</v>
      </c>
      <c r="B72" s="597">
        <f>IFERROR(VLOOKUP(A72,Skills!$A$81:$H$106,8,FALSE)*1,-1)</f>
        <v>-1</v>
      </c>
      <c r="C72" s="597">
        <f t="shared" si="3"/>
        <v>-1</v>
      </c>
      <c r="D72">
        <v>9</v>
      </c>
      <c r="E72" s="4" t="s">
        <v>1890</v>
      </c>
      <c r="F72" s="597" t="s">
        <v>1769</v>
      </c>
      <c r="R72" s="597">
        <f t="shared" si="43"/>
        <v>-1</v>
      </c>
      <c r="W72" s="597" t="s">
        <v>1837</v>
      </c>
      <c r="AB72" s="597">
        <f t="shared" ref="AB72" si="54">$B72</f>
        <v>-1</v>
      </c>
      <c r="AG72" s="597">
        <f t="shared" ref="AG72" si="55">$B72</f>
        <v>-1</v>
      </c>
    </row>
    <row r="73" spans="1:41" x14ac:dyDescent="0.2">
      <c r="A73" t="s">
        <v>516</v>
      </c>
      <c r="B73" s="597">
        <f>IFERROR(VLOOKUP(A73,Skills!$A$81:$H$106,8,FALSE)*1,-1)</f>
        <v>-1</v>
      </c>
      <c r="C73" s="597">
        <f t="shared" ref="C73:C90" si="56">MAX(B73,
TRUNC(HLOOKUP(F73,$G$1:$U$2,2,FALSE)/4,0)-1,
IFERROR(IF(ISERR(FIND(",",W73)),TRUNC(HLOOKUP(W73,$X$1:$AS$2,2,FALSE)/3,0)-1,MAX(TRUNC(HLOOKUP(LEFT(W73,FIND(",",W73)-1),$X$1:$AS$2,2,FALSE)/3,0)-1,TRUNC(HLOOKUP(MID(W73,FIND(",",W73)+2,99),$X$1:$AS$2,2,FALSE)/3,0)-1)),-1)
)</f>
        <v>-1</v>
      </c>
      <c r="D73">
        <v>8</v>
      </c>
      <c r="E73" s="4" t="s">
        <v>1891</v>
      </c>
      <c r="F73" s="597" t="s">
        <v>1769</v>
      </c>
      <c r="R73" s="597">
        <f t="shared" si="43"/>
        <v>-1</v>
      </c>
      <c r="W73" s="597" t="s">
        <v>1787</v>
      </c>
      <c r="AM73" s="597">
        <f t="shared" ref="AM73" si="57">$B73</f>
        <v>-1</v>
      </c>
    </row>
    <row r="74" spans="1:41" x14ac:dyDescent="0.2">
      <c r="A74" t="s">
        <v>517</v>
      </c>
      <c r="B74" s="597">
        <f>IFERROR(VLOOKUP(A74,Skills!$A$81:$H$106,8,FALSE)*1,-1)</f>
        <v>-1</v>
      </c>
      <c r="C74" s="597">
        <f t="shared" si="56"/>
        <v>-1</v>
      </c>
      <c r="D74">
        <v>9</v>
      </c>
      <c r="E74" s="4" t="s">
        <v>1890</v>
      </c>
      <c r="F74" s="597" t="s">
        <v>1769</v>
      </c>
      <c r="R74" s="597">
        <f t="shared" si="43"/>
        <v>-1</v>
      </c>
      <c r="W74" s="597" t="s">
        <v>1778</v>
      </c>
      <c r="AB74" s="597">
        <f t="shared" ref="AB74" si="58">$B74</f>
        <v>-1</v>
      </c>
    </row>
    <row r="75" spans="1:41" x14ac:dyDescent="0.2">
      <c r="A75" t="s">
        <v>518</v>
      </c>
      <c r="B75" s="597">
        <f>IFERROR(VLOOKUP(A75,Skills!$A$81:$H$106,8,FALSE)*1,-1)</f>
        <v>-1</v>
      </c>
      <c r="C75" s="597">
        <f t="shared" si="56"/>
        <v>-1</v>
      </c>
      <c r="D75">
        <v>8</v>
      </c>
      <c r="E75" s="4" t="s">
        <v>1891</v>
      </c>
      <c r="F75" s="597" t="s">
        <v>1769</v>
      </c>
      <c r="R75" s="597">
        <f t="shared" ref="R75:U90" si="59">$B75</f>
        <v>-1</v>
      </c>
      <c r="W75" s="597" t="s">
        <v>1787</v>
      </c>
      <c r="AM75" s="597">
        <f t="shared" ref="AM75:AM76" si="60">$B75</f>
        <v>-1</v>
      </c>
    </row>
    <row r="76" spans="1:41" x14ac:dyDescent="0.2">
      <c r="A76" t="s">
        <v>519</v>
      </c>
      <c r="B76" s="597">
        <f>IFERROR(VLOOKUP(A76,Skills!$A$81:$H$106,8,FALSE)*1,-1)</f>
        <v>-1</v>
      </c>
      <c r="C76" s="597">
        <f t="shared" si="56"/>
        <v>-1</v>
      </c>
      <c r="D76">
        <v>8</v>
      </c>
      <c r="F76" s="597" t="s">
        <v>1769</v>
      </c>
      <c r="R76" s="597">
        <f t="shared" si="59"/>
        <v>-1</v>
      </c>
      <c r="W76" s="597" t="s">
        <v>1787</v>
      </c>
      <c r="AM76" s="597">
        <f t="shared" si="60"/>
        <v>-1</v>
      </c>
    </row>
    <row r="77" spans="1:41" x14ac:dyDescent="0.2">
      <c r="A77" t="s">
        <v>590</v>
      </c>
      <c r="B77" s="597">
        <f>IFERROR(VLOOKUP(A77,Skills!$A$81:$H$106,8,FALSE)*1,-1)</f>
        <v>-1</v>
      </c>
      <c r="C77" s="597">
        <f t="shared" si="56"/>
        <v>-1</v>
      </c>
      <c r="D77">
        <v>9</v>
      </c>
      <c r="E77" s="697" t="s">
        <v>1890</v>
      </c>
      <c r="F77" s="597" t="s">
        <v>1769</v>
      </c>
      <c r="R77" s="597">
        <f t="shared" si="59"/>
        <v>-1</v>
      </c>
      <c r="W77" s="597" t="s">
        <v>1778</v>
      </c>
      <c r="AB77" s="597">
        <f t="shared" ref="AB77" si="61">$B77</f>
        <v>-1</v>
      </c>
    </row>
    <row r="78" spans="1:41" x14ac:dyDescent="0.2">
      <c r="A78" t="s">
        <v>523</v>
      </c>
      <c r="B78" s="597">
        <f>IFERROR(VLOOKUP(A78,Skills!$A$81:$H$106,8,FALSE)*1,-1)</f>
        <v>-1</v>
      </c>
      <c r="C78" s="597">
        <f t="shared" si="56"/>
        <v>-1</v>
      </c>
      <c r="D78">
        <v>6</v>
      </c>
      <c r="E78" s="697" t="s">
        <v>1891</v>
      </c>
      <c r="F78" s="597" t="s">
        <v>1769</v>
      </c>
      <c r="R78" s="597">
        <f t="shared" si="59"/>
        <v>-1</v>
      </c>
      <c r="W78" s="597" t="s">
        <v>1840</v>
      </c>
      <c r="AK78" s="597">
        <f t="shared" ref="AK78" si="62">$B78</f>
        <v>-1</v>
      </c>
      <c r="AM78" s="597">
        <f t="shared" ref="AM78" si="63">$B78</f>
        <v>-1</v>
      </c>
    </row>
    <row r="79" spans="1:41" x14ac:dyDescent="0.2">
      <c r="A79" t="s">
        <v>1219</v>
      </c>
      <c r="B79" s="597">
        <f>IFERROR(VLOOKUP(A79,Skills!$A$81:$H$106,8,FALSE)*1,-1)</f>
        <v>-1</v>
      </c>
      <c r="C79" s="597">
        <f t="shared" si="56"/>
        <v>-1</v>
      </c>
      <c r="D79">
        <v>9</v>
      </c>
      <c r="E79" s="697" t="s">
        <v>1891</v>
      </c>
      <c r="F79" s="597" t="s">
        <v>1769</v>
      </c>
      <c r="R79" s="597">
        <f t="shared" si="59"/>
        <v>-1</v>
      </c>
      <c r="W79" s="597" t="s">
        <v>1787</v>
      </c>
      <c r="AM79" s="597">
        <f t="shared" ref="AM79" si="64">$B79</f>
        <v>-1</v>
      </c>
    </row>
    <row r="80" spans="1:41" x14ac:dyDescent="0.2">
      <c r="A80" t="s">
        <v>527</v>
      </c>
      <c r="B80" s="597">
        <f>IFERROR(VLOOKUP(A80,Skills!$A$81:$H$106,8,FALSE)*1,-1)</f>
        <v>-1</v>
      </c>
      <c r="C80" s="597">
        <f t="shared" si="56"/>
        <v>-1</v>
      </c>
      <c r="D80">
        <v>4</v>
      </c>
      <c r="F80" s="597" t="s">
        <v>1769</v>
      </c>
      <c r="R80" s="597">
        <f t="shared" si="59"/>
        <v>-1</v>
      </c>
      <c r="W80" s="597"/>
    </row>
    <row r="81" spans="1:45" x14ac:dyDescent="0.2">
      <c r="A81" t="s">
        <v>1826</v>
      </c>
      <c r="B81" s="597">
        <f>IFERROR(VLOOKUP(A81,Skills!$A$81:$H$106,8,FALSE)*1,-1)</f>
        <v>-1</v>
      </c>
      <c r="C81" s="597">
        <f t="shared" si="56"/>
        <v>-1</v>
      </c>
      <c r="D81">
        <v>9</v>
      </c>
      <c r="E81" s="697" t="s">
        <v>1891</v>
      </c>
      <c r="F81" s="597" t="s">
        <v>1770</v>
      </c>
      <c r="S81" s="597">
        <f t="shared" si="59"/>
        <v>-1</v>
      </c>
      <c r="W81" s="597" t="s">
        <v>1792</v>
      </c>
      <c r="AS81" s="597">
        <f t="shared" ref="AS81" si="65">$B81</f>
        <v>-1</v>
      </c>
    </row>
    <row r="82" spans="1:45" x14ac:dyDescent="0.2">
      <c r="A82" s="597" t="s">
        <v>1827</v>
      </c>
      <c r="B82" s="597">
        <f>IFERROR(VLOOKUP(A82,Skills!$A$81:$H$106,8,FALSE)*1,-1)</f>
        <v>-1</v>
      </c>
      <c r="C82" s="597">
        <f t="shared" si="56"/>
        <v>-1</v>
      </c>
      <c r="D82">
        <v>9</v>
      </c>
      <c r="E82" s="697" t="s">
        <v>1891</v>
      </c>
      <c r="F82" s="597" t="s">
        <v>1770</v>
      </c>
      <c r="S82" s="597">
        <f t="shared" si="59"/>
        <v>-1</v>
      </c>
      <c r="W82" s="597"/>
      <c r="AS82" s="597"/>
    </row>
    <row r="83" spans="1:45" x14ac:dyDescent="0.2">
      <c r="A83" s="597" t="s">
        <v>1828</v>
      </c>
      <c r="B83" s="597">
        <f>IFERROR(VLOOKUP(A83,Skills!$A$81:$H$106,8,FALSE)*1,-1)</f>
        <v>-1</v>
      </c>
      <c r="C83" s="597">
        <f t="shared" si="56"/>
        <v>-1</v>
      </c>
      <c r="D83">
        <v>9</v>
      </c>
      <c r="E83" s="697" t="s">
        <v>1891</v>
      </c>
      <c r="F83" s="597" t="s">
        <v>1770</v>
      </c>
      <c r="S83" s="597">
        <f t="shared" si="59"/>
        <v>-1</v>
      </c>
      <c r="W83" s="597"/>
      <c r="AS83" s="597"/>
    </row>
    <row r="84" spans="1:45" x14ac:dyDescent="0.2">
      <c r="A84" s="597" t="s">
        <v>1597</v>
      </c>
      <c r="B84" s="597">
        <f>IFERROR(VLOOKUP(A84,Skills!$A$81:$H$106,8,FALSE)*1,-1)</f>
        <v>-1</v>
      </c>
      <c r="C84" s="597">
        <f t="shared" si="56"/>
        <v>-1</v>
      </c>
      <c r="D84">
        <v>8</v>
      </c>
      <c r="E84" s="697" t="s">
        <v>1891</v>
      </c>
      <c r="F84" s="597" t="s">
        <v>1770</v>
      </c>
      <c r="S84" s="597">
        <f t="shared" si="59"/>
        <v>-1</v>
      </c>
      <c r="W84" s="597" t="s">
        <v>1785</v>
      </c>
      <c r="AK84" s="597">
        <f t="shared" ref="AK84:AK85" si="66">$B84</f>
        <v>-1</v>
      </c>
    </row>
    <row r="85" spans="1:45" x14ac:dyDescent="0.2">
      <c r="A85" s="597" t="s">
        <v>1829</v>
      </c>
      <c r="B85" s="597">
        <f>IFERROR(VLOOKUP(A85,Skills!$A$81:$H$106,8,FALSE)*1,-1)</f>
        <v>-1</v>
      </c>
      <c r="C85" s="597">
        <f t="shared" si="56"/>
        <v>-1</v>
      </c>
      <c r="D85">
        <v>8</v>
      </c>
      <c r="E85" s="697" t="s">
        <v>1891</v>
      </c>
      <c r="F85" s="597" t="s">
        <v>1770</v>
      </c>
      <c r="S85" s="597">
        <f t="shared" si="59"/>
        <v>-1</v>
      </c>
      <c r="W85" s="597" t="s">
        <v>1785</v>
      </c>
      <c r="AK85" s="597">
        <f t="shared" si="66"/>
        <v>-1</v>
      </c>
    </row>
    <row r="86" spans="1:45" x14ac:dyDescent="0.2">
      <c r="A86" s="597" t="s">
        <v>1830</v>
      </c>
      <c r="B86" s="597">
        <f>IFERROR(VLOOKUP(A86,Skills!$A$81:$H$106,8,FALSE)*1,-1)</f>
        <v>-1</v>
      </c>
      <c r="C86" s="597">
        <f t="shared" si="56"/>
        <v>-1</v>
      </c>
      <c r="D86">
        <v>9</v>
      </c>
      <c r="E86" s="697" t="s">
        <v>1891</v>
      </c>
      <c r="F86" s="597" t="s">
        <v>1770</v>
      </c>
      <c r="S86" s="597">
        <f t="shared" si="59"/>
        <v>-1</v>
      </c>
      <c r="W86" s="597" t="s">
        <v>1792</v>
      </c>
      <c r="AS86" s="597">
        <f t="shared" ref="AS86:AS87" si="67">$B86</f>
        <v>-1</v>
      </c>
    </row>
    <row r="87" spans="1:45" x14ac:dyDescent="0.2">
      <c r="A87" s="597" t="s">
        <v>1831</v>
      </c>
      <c r="B87" s="597">
        <f>IFERROR(VLOOKUP(A87,Skills!$A$81:$H$106,8,FALSE)*1,-1)</f>
        <v>-1</v>
      </c>
      <c r="C87" s="597">
        <f t="shared" si="56"/>
        <v>-1</v>
      </c>
      <c r="D87">
        <v>10</v>
      </c>
      <c r="E87" s="697" t="s">
        <v>1886</v>
      </c>
      <c r="F87" s="597" t="s">
        <v>1770</v>
      </c>
      <c r="S87" s="597">
        <f t="shared" si="59"/>
        <v>-1</v>
      </c>
      <c r="W87" s="597" t="s">
        <v>1792</v>
      </c>
      <c r="AS87" s="597">
        <f t="shared" si="67"/>
        <v>-1</v>
      </c>
    </row>
    <row r="88" spans="1:45" x14ac:dyDescent="0.2">
      <c r="A88" t="s">
        <v>1771</v>
      </c>
      <c r="B88" s="597">
        <f>IFERROR(VLOOKUP(A88,Skills!$A$81:$H$106,8,FALSE)*1,-1)</f>
        <v>-1</v>
      </c>
      <c r="C88" s="597">
        <f t="shared" si="56"/>
        <v>-1</v>
      </c>
      <c r="D88">
        <v>8</v>
      </c>
      <c r="E88" s="697" t="s">
        <v>1632</v>
      </c>
      <c r="F88" s="597" t="s">
        <v>1771</v>
      </c>
      <c r="T88" s="597">
        <f t="shared" si="59"/>
        <v>-1</v>
      </c>
      <c r="W88" s="597" t="s">
        <v>1789</v>
      </c>
      <c r="AO88" s="597">
        <f t="shared" ref="AO88" si="68">$B88</f>
        <v>-1</v>
      </c>
    </row>
    <row r="89" spans="1:45" x14ac:dyDescent="0.2">
      <c r="A89" s="597" t="s">
        <v>1757</v>
      </c>
      <c r="B89" s="597">
        <f>IFERROR(VLOOKUP(A89,Skills!$A$81:$H$106,8,FALSE)*1,-1)</f>
        <v>-1</v>
      </c>
      <c r="C89" s="597">
        <f t="shared" si="56"/>
        <v>-1</v>
      </c>
      <c r="D89">
        <v>6</v>
      </c>
      <c r="F89" s="597" t="s">
        <v>1772</v>
      </c>
      <c r="U89" s="597">
        <f t="shared" si="59"/>
        <v>-1</v>
      </c>
      <c r="W89" s="597"/>
    </row>
    <row r="90" spans="1:45" x14ac:dyDescent="0.2">
      <c r="A90" t="s">
        <v>1832</v>
      </c>
      <c r="B90" s="597">
        <f>IFERROR(VLOOKUP(A90,Skills!$A$81:$H$106,8,FALSE)*1,-1)</f>
        <v>-1</v>
      </c>
      <c r="C90" s="597">
        <f t="shared" si="56"/>
        <v>-1</v>
      </c>
      <c r="D90">
        <v>5</v>
      </c>
      <c r="F90" s="597" t="s">
        <v>1772</v>
      </c>
      <c r="U90" s="597">
        <f t="shared" si="59"/>
        <v>-1</v>
      </c>
      <c r="W90" s="597"/>
    </row>
    <row r="91" spans="1:45" x14ac:dyDescent="0.2">
      <c r="A91" s="631" t="s">
        <v>1845</v>
      </c>
      <c r="B91" s="597"/>
    </row>
    <row r="92" spans="1:45" x14ac:dyDescent="0.2">
      <c r="A92" s="631" t="s">
        <v>1845</v>
      </c>
      <c r="B92" s="597"/>
    </row>
    <row r="93" spans="1:45" x14ac:dyDescent="0.2">
      <c r="A93" s="631" t="s">
        <v>1845</v>
      </c>
      <c r="B93" s="597"/>
    </row>
    <row r="94" spans="1:45" x14ac:dyDescent="0.2">
      <c r="A94" s="631" t="s">
        <v>1845</v>
      </c>
      <c r="B94" s="597"/>
    </row>
    <row r="95" spans="1:45" x14ac:dyDescent="0.2">
      <c r="A95" s="631" t="s">
        <v>1845</v>
      </c>
      <c r="B95" s="597"/>
    </row>
    <row r="98" spans="1:5" x14ac:dyDescent="0.2">
      <c r="A98" s="608" t="s">
        <v>1893</v>
      </c>
    </row>
    <row r="99" spans="1:5" x14ac:dyDescent="0.2">
      <c r="A99" t="s">
        <v>1883</v>
      </c>
      <c r="B99" s="5" t="s">
        <v>1894</v>
      </c>
      <c r="D99" s="5" t="s">
        <v>1895</v>
      </c>
      <c r="E99" s="4"/>
    </row>
    <row r="100" spans="1:5" x14ac:dyDescent="0.2">
      <c r="A100" t="s">
        <v>1884</v>
      </c>
      <c r="B100" s="5" t="s">
        <v>1896</v>
      </c>
    </row>
    <row r="101" spans="1:5" x14ac:dyDescent="0.2">
      <c r="A101" t="s">
        <v>1885</v>
      </c>
      <c r="B101" s="5" t="s">
        <v>165</v>
      </c>
      <c r="D101" s="5" t="s">
        <v>1897</v>
      </c>
      <c r="E101" s="4"/>
    </row>
    <row r="102" spans="1:5" x14ac:dyDescent="0.2">
      <c r="A102" t="s">
        <v>1886</v>
      </c>
      <c r="B102" s="5" t="s">
        <v>1898</v>
      </c>
      <c r="D102" t="s">
        <v>1899</v>
      </c>
    </row>
    <row r="103" spans="1:5" x14ac:dyDescent="0.2">
      <c r="A103" t="s">
        <v>1887</v>
      </c>
      <c r="B103" s="5" t="s">
        <v>1900</v>
      </c>
      <c r="D103" s="5" t="s">
        <v>1901</v>
      </c>
      <c r="E103" s="4"/>
    </row>
    <row r="104" spans="1:5" x14ac:dyDescent="0.2">
      <c r="A104" t="s">
        <v>1632</v>
      </c>
      <c r="B104" s="5" t="s">
        <v>1902</v>
      </c>
      <c r="D104" t="s">
        <v>1903</v>
      </c>
    </row>
    <row r="105" spans="1:5" x14ac:dyDescent="0.2">
      <c r="A105" t="s">
        <v>1888</v>
      </c>
      <c r="B105" s="5" t="s">
        <v>1814</v>
      </c>
      <c r="D105" t="s">
        <v>1904</v>
      </c>
    </row>
    <row r="106" spans="1:5" x14ac:dyDescent="0.2">
      <c r="A106" t="s">
        <v>1889</v>
      </c>
      <c r="B106" s="5" t="s">
        <v>1905</v>
      </c>
      <c r="D106" t="s">
        <v>1906</v>
      </c>
    </row>
    <row r="107" spans="1:5" x14ac:dyDescent="0.2">
      <c r="A107" t="s">
        <v>1890</v>
      </c>
      <c r="B107" s="5" t="s">
        <v>590</v>
      </c>
      <c r="D107" s="5" t="s">
        <v>1907</v>
      </c>
      <c r="E107" s="4"/>
    </row>
    <row r="108" spans="1:5" x14ac:dyDescent="0.2">
      <c r="A108" t="s">
        <v>1891</v>
      </c>
      <c r="B108" s="5" t="s">
        <v>1880</v>
      </c>
      <c r="D108" s="5" t="s">
        <v>1908</v>
      </c>
      <c r="E108" s="4"/>
    </row>
    <row r="109" spans="1:5" x14ac:dyDescent="0.2">
      <c r="A109" s="631" t="s">
        <v>1892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1"/>
  <dimension ref="A1:U223"/>
  <sheetViews>
    <sheetView showZeros="0" workbookViewId="0">
      <selection activeCell="A3" sqref="A3"/>
    </sheetView>
  </sheetViews>
  <sheetFormatPr defaultColWidth="9.140625" defaultRowHeight="11.25" x14ac:dyDescent="0.2"/>
  <cols>
    <col min="1" max="1" width="12.28515625" style="58" customWidth="1"/>
    <col min="2" max="2" width="3.28515625" style="31" bestFit="1" customWidth="1"/>
    <col min="3" max="3" width="3.140625" style="31" bestFit="1" customWidth="1"/>
    <col min="4" max="4" width="3.85546875" style="31" customWidth="1"/>
    <col min="5" max="5" width="16" style="58" customWidth="1"/>
    <col min="6" max="6" width="9.140625" style="58"/>
    <col min="7" max="7" width="15.7109375" style="58" customWidth="1"/>
    <col min="8" max="9" width="3.28515625" style="58" customWidth="1"/>
    <col min="10" max="10" width="2.7109375" style="58" customWidth="1"/>
    <col min="11" max="11" width="15.7109375" style="58" customWidth="1"/>
    <col min="12" max="13" width="3.28515625" style="58" customWidth="1"/>
    <col min="14" max="14" width="2.7109375" style="58" customWidth="1"/>
    <col min="15" max="15" width="15.7109375" style="58" customWidth="1"/>
    <col min="16" max="17" width="3.28515625" style="58" customWidth="1"/>
    <col min="18" max="18" width="2.7109375" style="58" customWidth="1"/>
    <col min="19" max="19" width="15.7109375" style="58" customWidth="1"/>
    <col min="20" max="21" width="3.28515625" style="58" customWidth="1"/>
    <col min="22" max="16384" width="9.140625" style="58"/>
  </cols>
  <sheetData>
    <row r="1" spans="1:21" s="238" customFormat="1" x14ac:dyDescent="0.2">
      <c r="A1" s="238" t="s">
        <v>368</v>
      </c>
      <c r="B1" s="239" t="s">
        <v>369</v>
      </c>
      <c r="C1" s="239" t="s">
        <v>149</v>
      </c>
      <c r="D1" s="239" t="s">
        <v>231</v>
      </c>
      <c r="E1" s="238" t="s">
        <v>370</v>
      </c>
      <c r="G1" s="240" t="str">
        <f>A1</f>
        <v>Name</v>
      </c>
      <c r="H1" s="241" t="str">
        <f>C1</f>
        <v>Rk</v>
      </c>
      <c r="I1" s="241" t="str">
        <f>D1</f>
        <v>%</v>
      </c>
      <c r="K1" s="240" t="str">
        <f>$A$1</f>
        <v>Name</v>
      </c>
      <c r="L1" s="241" t="str">
        <f>$C$1</f>
        <v>Rk</v>
      </c>
      <c r="M1" s="241" t="str">
        <f>$D$1</f>
        <v>%</v>
      </c>
      <c r="O1" s="240" t="str">
        <f>$A$1</f>
        <v>Name</v>
      </c>
      <c r="P1" s="241" t="str">
        <f>$C$1</f>
        <v>Rk</v>
      </c>
      <c r="Q1" s="241" t="str">
        <f>$D$1</f>
        <v>%</v>
      </c>
      <c r="S1" s="240" t="str">
        <f>$A$1</f>
        <v>Name</v>
      </c>
      <c r="T1" s="241" t="str">
        <f>$C$1</f>
        <v>Rk</v>
      </c>
      <c r="U1" s="241" t="str">
        <f>$D$1</f>
        <v>%</v>
      </c>
    </row>
    <row r="2" spans="1:21" x14ac:dyDescent="0.2">
      <c r="A2" s="58" t="str">
        <f>Setup!B2</f>
        <v>Character's name</v>
      </c>
      <c r="B2" s="31" t="s">
        <v>371</v>
      </c>
      <c r="C2" s="242"/>
      <c r="D2" s="31">
        <f t="shared" ref="D2:D65" si="0">IF(B2="I",C2*2,IF(B2="G",C2,""))</f>
        <v>0</v>
      </c>
      <c r="E2" s="58" t="s">
        <v>372</v>
      </c>
      <c r="G2" s="243" t="str">
        <f>E25</f>
        <v>Animal, Aquatic</v>
      </c>
      <c r="K2" s="58" t="str">
        <f t="shared" ref="K2:K13" si="1">A92</f>
        <v>Finch</v>
      </c>
      <c r="L2" s="244">
        <f t="shared" ref="L2:L13" si="2">C92</f>
        <v>0</v>
      </c>
      <c r="M2" s="244">
        <f t="shared" ref="M2:M13" si="3">D92</f>
        <v>0</v>
      </c>
      <c r="O2" s="58" t="str">
        <f t="shared" ref="O2:O16" si="4">A157</f>
        <v>Gnoll</v>
      </c>
      <c r="P2" s="244">
        <f t="shared" ref="P2:P16" si="5">C157</f>
        <v>0</v>
      </c>
      <c r="Q2" s="244">
        <f t="shared" ref="Q2:Q16" si="6">D157</f>
        <v>0</v>
      </c>
      <c r="S2" s="243" t="str">
        <f>E220</f>
        <v>Undead, Greater</v>
      </c>
      <c r="T2" s="244"/>
      <c r="U2" s="244"/>
    </row>
    <row r="3" spans="1:21" x14ac:dyDescent="0.2">
      <c r="A3" s="245"/>
      <c r="B3" s="31" t="s">
        <v>371</v>
      </c>
      <c r="C3" s="242"/>
      <c r="D3" s="31">
        <f t="shared" si="0"/>
        <v>0</v>
      </c>
      <c r="E3" s="245"/>
      <c r="G3" s="58" t="str">
        <f t="shared" ref="G3:G16" si="7">A25</f>
        <v>Cod</v>
      </c>
      <c r="H3" s="58">
        <f t="shared" ref="H3:H16" si="8">C25</f>
        <v>0</v>
      </c>
      <c r="I3" s="58">
        <f t="shared" ref="I3:I16" si="9">D25</f>
        <v>0</v>
      </c>
      <c r="K3" s="58" t="str">
        <f t="shared" si="1"/>
        <v>Gannet</v>
      </c>
      <c r="L3" s="244">
        <f t="shared" si="2"/>
        <v>0</v>
      </c>
      <c r="M3" s="244">
        <f t="shared" si="3"/>
        <v>0</v>
      </c>
      <c r="O3" s="58" t="str">
        <f t="shared" si="4"/>
        <v>Gnome</v>
      </c>
      <c r="P3" s="244">
        <f t="shared" si="5"/>
        <v>0</v>
      </c>
      <c r="Q3" s="244">
        <f t="shared" si="6"/>
        <v>0</v>
      </c>
      <c r="S3" s="58" t="str">
        <f>A220</f>
        <v>Spectre</v>
      </c>
      <c r="T3" s="244">
        <f t="shared" ref="T3:U6" si="10">C220</f>
        <v>0</v>
      </c>
      <c r="U3" s="244">
        <f t="shared" si="10"/>
        <v>0</v>
      </c>
    </row>
    <row r="4" spans="1:21" x14ac:dyDescent="0.2">
      <c r="A4" s="245"/>
      <c r="B4" s="31" t="s">
        <v>371</v>
      </c>
      <c r="C4" s="242"/>
      <c r="D4" s="31">
        <f t="shared" si="0"/>
        <v>0</v>
      </c>
      <c r="E4" s="245"/>
      <c r="G4" s="58" t="str">
        <f t="shared" si="7"/>
        <v>Dolphin</v>
      </c>
      <c r="H4" s="58">
        <f t="shared" si="8"/>
        <v>0</v>
      </c>
      <c r="I4" s="58">
        <f t="shared" si="9"/>
        <v>0</v>
      </c>
      <c r="K4" s="58" t="str">
        <f t="shared" si="1"/>
        <v>Goose</v>
      </c>
      <c r="L4" s="244">
        <f t="shared" si="2"/>
        <v>0</v>
      </c>
      <c r="M4" s="244">
        <f t="shared" si="3"/>
        <v>0</v>
      </c>
      <c r="O4" s="58" t="str">
        <f t="shared" si="4"/>
        <v>Goblin</v>
      </c>
      <c r="P4" s="244">
        <f t="shared" si="5"/>
        <v>0</v>
      </c>
      <c r="Q4" s="244">
        <f t="shared" si="6"/>
        <v>0</v>
      </c>
      <c r="S4" s="58" t="str">
        <f>A221</f>
        <v>Vampire</v>
      </c>
      <c r="T4" s="244">
        <f t="shared" si="10"/>
        <v>0</v>
      </c>
      <c r="U4" s="244">
        <f t="shared" si="10"/>
        <v>0</v>
      </c>
    </row>
    <row r="5" spans="1:21" x14ac:dyDescent="0.2">
      <c r="A5" s="245"/>
      <c r="B5" s="31" t="s">
        <v>371</v>
      </c>
      <c r="C5" s="242"/>
      <c r="D5" s="31">
        <f t="shared" si="0"/>
        <v>0</v>
      </c>
      <c r="E5" s="245"/>
      <c r="G5" s="58" t="str">
        <f t="shared" si="7"/>
        <v>Eel</v>
      </c>
      <c r="H5" s="58">
        <f t="shared" si="8"/>
        <v>0</v>
      </c>
      <c r="I5" s="58">
        <f t="shared" si="9"/>
        <v>0</v>
      </c>
      <c r="K5" s="58" t="str">
        <f t="shared" si="1"/>
        <v>Goshawk</v>
      </c>
      <c r="L5" s="244">
        <f t="shared" si="2"/>
        <v>0</v>
      </c>
      <c r="M5" s="244">
        <f t="shared" si="3"/>
        <v>0</v>
      </c>
      <c r="O5" s="58" t="str">
        <f t="shared" si="4"/>
        <v>Halfling</v>
      </c>
      <c r="P5" s="244">
        <f t="shared" si="5"/>
        <v>0</v>
      </c>
      <c r="Q5" s="244">
        <f t="shared" si="6"/>
        <v>0</v>
      </c>
      <c r="S5" s="58" t="str">
        <f>A222</f>
        <v>Wight</v>
      </c>
      <c r="T5" s="244">
        <f t="shared" si="10"/>
        <v>0</v>
      </c>
      <c r="U5" s="244">
        <f t="shared" si="10"/>
        <v>0</v>
      </c>
    </row>
    <row r="6" spans="1:21" x14ac:dyDescent="0.2">
      <c r="A6" s="245"/>
      <c r="B6" s="31" t="s">
        <v>371</v>
      </c>
      <c r="C6" s="242"/>
      <c r="D6" s="31">
        <f t="shared" si="0"/>
        <v>0</v>
      </c>
      <c r="E6" s="245"/>
      <c r="G6" s="58" t="str">
        <f t="shared" si="7"/>
        <v>Manta Ray</v>
      </c>
      <c r="H6" s="58">
        <f t="shared" si="8"/>
        <v>0</v>
      </c>
      <c r="I6" s="58">
        <f t="shared" si="9"/>
        <v>0</v>
      </c>
      <c r="K6" s="58" t="str">
        <f t="shared" si="1"/>
        <v>Owl</v>
      </c>
      <c r="L6" s="244">
        <f t="shared" si="2"/>
        <v>0</v>
      </c>
      <c r="M6" s="244">
        <f t="shared" si="3"/>
        <v>0</v>
      </c>
      <c r="O6" s="58" t="str">
        <f t="shared" si="4"/>
        <v>Hobgoblin</v>
      </c>
      <c r="P6" s="244">
        <f t="shared" si="5"/>
        <v>0</v>
      </c>
      <c r="Q6" s="244">
        <f t="shared" si="6"/>
        <v>0</v>
      </c>
      <c r="S6" s="58" t="str">
        <f>A223</f>
        <v>Wraith</v>
      </c>
      <c r="T6" s="244">
        <f t="shared" si="10"/>
        <v>0</v>
      </c>
      <c r="U6" s="244">
        <f t="shared" si="10"/>
        <v>0</v>
      </c>
    </row>
    <row r="7" spans="1:21" x14ac:dyDescent="0.2">
      <c r="A7" s="245"/>
      <c r="B7" s="31" t="s">
        <v>371</v>
      </c>
      <c r="C7" s="242"/>
      <c r="D7" s="31">
        <f t="shared" si="0"/>
        <v>0</v>
      </c>
      <c r="E7" s="245"/>
      <c r="G7" s="58" t="str">
        <f t="shared" si="7"/>
        <v>Octopus</v>
      </c>
      <c r="H7" s="58">
        <f t="shared" si="8"/>
        <v>0</v>
      </c>
      <c r="I7" s="58">
        <f t="shared" si="9"/>
        <v>0</v>
      </c>
      <c r="K7" s="58" t="str">
        <f t="shared" si="1"/>
        <v>Parrot</v>
      </c>
      <c r="L7" s="244">
        <f t="shared" si="2"/>
        <v>0</v>
      </c>
      <c r="M7" s="244">
        <f t="shared" si="3"/>
        <v>0</v>
      </c>
      <c r="O7" s="58" t="str">
        <f t="shared" si="4"/>
        <v>Human</v>
      </c>
      <c r="P7" s="244">
        <f t="shared" si="5"/>
        <v>0</v>
      </c>
      <c r="Q7" s="244">
        <f t="shared" si="6"/>
        <v>0</v>
      </c>
    </row>
    <row r="8" spans="1:21" x14ac:dyDescent="0.2">
      <c r="A8" s="245"/>
      <c r="B8" s="31" t="s">
        <v>371</v>
      </c>
      <c r="C8" s="242"/>
      <c r="D8" s="31">
        <f t="shared" si="0"/>
        <v>0</v>
      </c>
      <c r="E8" s="245"/>
      <c r="G8" s="58" t="str">
        <f t="shared" si="7"/>
        <v>Pike</v>
      </c>
      <c r="H8" s="58">
        <f t="shared" si="8"/>
        <v>0</v>
      </c>
      <c r="I8" s="58">
        <f t="shared" si="9"/>
        <v>0</v>
      </c>
      <c r="K8" s="58" t="str">
        <f t="shared" si="1"/>
        <v>Roc</v>
      </c>
      <c r="L8" s="244">
        <f t="shared" si="2"/>
        <v>0</v>
      </c>
      <c r="M8" s="244">
        <f t="shared" si="3"/>
        <v>0</v>
      </c>
      <c r="O8" s="58" t="str">
        <f t="shared" si="4"/>
        <v>Kobold</v>
      </c>
      <c r="P8" s="244">
        <f t="shared" si="5"/>
        <v>0</v>
      </c>
      <c r="Q8" s="244">
        <f t="shared" si="6"/>
        <v>0</v>
      </c>
      <c r="S8" s="813" t="s">
        <v>374</v>
      </c>
      <c r="T8" s="813"/>
      <c r="U8" s="813"/>
    </row>
    <row r="9" spans="1:21" x14ac:dyDescent="0.2">
      <c r="A9" s="245"/>
      <c r="B9" s="31" t="s">
        <v>371</v>
      </c>
      <c r="C9" s="242"/>
      <c r="D9" s="31">
        <f t="shared" si="0"/>
        <v>0</v>
      </c>
      <c r="E9" s="245"/>
      <c r="G9" s="58" t="str">
        <f t="shared" si="7"/>
        <v>Pirahna</v>
      </c>
      <c r="H9" s="58">
        <f t="shared" si="8"/>
        <v>0</v>
      </c>
      <c r="I9" s="58">
        <f t="shared" si="9"/>
        <v>0</v>
      </c>
      <c r="K9" s="58" t="str">
        <f t="shared" si="1"/>
        <v>Seagull</v>
      </c>
      <c r="L9" s="244">
        <f t="shared" si="2"/>
        <v>0</v>
      </c>
      <c r="M9" s="244">
        <f t="shared" si="3"/>
        <v>0</v>
      </c>
      <c r="O9" s="58" t="str">
        <f t="shared" si="4"/>
        <v>Leprechaun</v>
      </c>
      <c r="P9" s="244">
        <f t="shared" si="5"/>
        <v>0</v>
      </c>
      <c r="Q9" s="244">
        <f t="shared" si="6"/>
        <v>0</v>
      </c>
      <c r="S9" s="58" t="str">
        <f t="shared" ref="S9:S31" si="11">A2</f>
        <v>Character's name</v>
      </c>
      <c r="T9" s="58">
        <f t="shared" ref="T9:T31" si="12">C2</f>
        <v>0</v>
      </c>
      <c r="U9" s="58">
        <f t="shared" ref="U9:U31" si="13">D2</f>
        <v>0</v>
      </c>
    </row>
    <row r="10" spans="1:21" x14ac:dyDescent="0.2">
      <c r="A10" s="245"/>
      <c r="B10" s="31" t="s">
        <v>371</v>
      </c>
      <c r="C10" s="242"/>
      <c r="D10" s="31">
        <f t="shared" si="0"/>
        <v>0</v>
      </c>
      <c r="E10" s="245"/>
      <c r="G10" s="58" t="str">
        <f t="shared" si="7"/>
        <v>Porpoise</v>
      </c>
      <c r="H10" s="58">
        <f t="shared" si="8"/>
        <v>0</v>
      </c>
      <c r="I10" s="58">
        <f t="shared" si="9"/>
        <v>0</v>
      </c>
      <c r="K10" s="58" t="str">
        <f t="shared" si="1"/>
        <v>Sparrow</v>
      </c>
      <c r="L10" s="244">
        <f t="shared" si="2"/>
        <v>0</v>
      </c>
      <c r="M10" s="244">
        <f t="shared" si="3"/>
        <v>0</v>
      </c>
      <c r="O10" s="58" t="str">
        <f t="shared" si="4"/>
        <v>Lizard Man</v>
      </c>
      <c r="P10" s="244">
        <f t="shared" si="5"/>
        <v>0</v>
      </c>
      <c r="Q10" s="244">
        <f t="shared" si="6"/>
        <v>0</v>
      </c>
      <c r="S10" s="58">
        <f t="shared" si="11"/>
        <v>0</v>
      </c>
      <c r="T10" s="58">
        <f t="shared" si="12"/>
        <v>0</v>
      </c>
      <c r="U10" s="58">
        <f t="shared" si="13"/>
        <v>0</v>
      </c>
    </row>
    <row r="11" spans="1:21" x14ac:dyDescent="0.2">
      <c r="A11" s="245"/>
      <c r="B11" s="31" t="s">
        <v>371</v>
      </c>
      <c r="C11" s="242"/>
      <c r="D11" s="31">
        <f t="shared" si="0"/>
        <v>0</v>
      </c>
      <c r="E11" s="245"/>
      <c r="G11" s="58" t="str">
        <f t="shared" si="7"/>
        <v>Salmon</v>
      </c>
      <c r="H11" s="58">
        <f t="shared" si="8"/>
        <v>0</v>
      </c>
      <c r="I11" s="58">
        <f t="shared" si="9"/>
        <v>0</v>
      </c>
      <c r="K11" s="58" t="str">
        <f t="shared" si="1"/>
        <v>Swan</v>
      </c>
      <c r="L11" s="244">
        <f t="shared" si="2"/>
        <v>0</v>
      </c>
      <c r="M11" s="244">
        <f t="shared" si="3"/>
        <v>0</v>
      </c>
      <c r="O11" s="58" t="str">
        <f t="shared" si="4"/>
        <v>Neanderthal</v>
      </c>
      <c r="P11" s="244">
        <f t="shared" si="5"/>
        <v>0</v>
      </c>
      <c r="Q11" s="244">
        <f t="shared" si="6"/>
        <v>0</v>
      </c>
      <c r="S11" s="58">
        <f t="shared" si="11"/>
        <v>0</v>
      </c>
      <c r="T11" s="58">
        <f t="shared" si="12"/>
        <v>0</v>
      </c>
      <c r="U11" s="58">
        <f t="shared" si="13"/>
        <v>0</v>
      </c>
    </row>
    <row r="12" spans="1:21" x14ac:dyDescent="0.2">
      <c r="A12" s="245"/>
      <c r="B12" s="31" t="s">
        <v>371</v>
      </c>
      <c r="C12" s="242"/>
      <c r="D12" s="31">
        <f t="shared" si="0"/>
        <v>0</v>
      </c>
      <c r="E12" s="245"/>
      <c r="G12" s="58" t="str">
        <f t="shared" si="7"/>
        <v>Snapper</v>
      </c>
      <c r="H12" s="58">
        <f t="shared" si="8"/>
        <v>0</v>
      </c>
      <c r="I12" s="58">
        <f t="shared" si="9"/>
        <v>0</v>
      </c>
      <c r="K12" s="58" t="str">
        <f t="shared" si="1"/>
        <v>Tern</v>
      </c>
      <c r="L12" s="244">
        <f t="shared" si="2"/>
        <v>0</v>
      </c>
      <c r="M12" s="244">
        <f t="shared" si="3"/>
        <v>0</v>
      </c>
      <c r="O12" s="58" t="str">
        <f t="shared" si="4"/>
        <v>Ogre</v>
      </c>
      <c r="P12" s="244">
        <f t="shared" si="5"/>
        <v>0</v>
      </c>
      <c r="Q12" s="244">
        <f t="shared" si="6"/>
        <v>0</v>
      </c>
      <c r="S12" s="58">
        <f t="shared" si="11"/>
        <v>0</v>
      </c>
      <c r="T12" s="58">
        <f t="shared" si="12"/>
        <v>0</v>
      </c>
      <c r="U12" s="58">
        <f t="shared" si="13"/>
        <v>0</v>
      </c>
    </row>
    <row r="13" spans="1:21" x14ac:dyDescent="0.2">
      <c r="A13" s="245"/>
      <c r="B13" s="31" t="s">
        <v>371</v>
      </c>
      <c r="C13" s="242"/>
      <c r="D13" s="31">
        <f t="shared" si="0"/>
        <v>0</v>
      </c>
      <c r="E13" s="245"/>
      <c r="G13" s="58" t="str">
        <f t="shared" si="7"/>
        <v>Squid</v>
      </c>
      <c r="H13" s="58">
        <f t="shared" si="8"/>
        <v>0</v>
      </c>
      <c r="I13" s="58">
        <f t="shared" si="9"/>
        <v>0</v>
      </c>
      <c r="K13" s="58" t="str">
        <f t="shared" si="1"/>
        <v>Vulture</v>
      </c>
      <c r="L13" s="244">
        <f t="shared" si="2"/>
        <v>0</v>
      </c>
      <c r="M13" s="244">
        <f t="shared" si="3"/>
        <v>0</v>
      </c>
      <c r="O13" s="58" t="str">
        <f t="shared" si="4"/>
        <v>Orc</v>
      </c>
      <c r="P13" s="244">
        <f t="shared" si="5"/>
        <v>0</v>
      </c>
      <c r="Q13" s="244">
        <f t="shared" si="6"/>
        <v>0</v>
      </c>
      <c r="S13" s="58">
        <f t="shared" si="11"/>
        <v>0</v>
      </c>
      <c r="T13" s="58">
        <f t="shared" si="12"/>
        <v>0</v>
      </c>
      <c r="U13" s="58">
        <f t="shared" si="13"/>
        <v>0</v>
      </c>
    </row>
    <row r="14" spans="1:21" x14ac:dyDescent="0.2">
      <c r="A14" s="245"/>
      <c r="B14" s="31" t="s">
        <v>371</v>
      </c>
      <c r="C14" s="242"/>
      <c r="D14" s="31">
        <f t="shared" si="0"/>
        <v>0</v>
      </c>
      <c r="E14" s="245"/>
      <c r="G14" s="58" t="str">
        <f t="shared" si="7"/>
        <v>Sting Ray</v>
      </c>
      <c r="H14" s="58">
        <f t="shared" si="8"/>
        <v>0</v>
      </c>
      <c r="I14" s="58">
        <f t="shared" si="9"/>
        <v>0</v>
      </c>
      <c r="K14" s="243" t="str">
        <f>E104</f>
        <v>Demonic</v>
      </c>
      <c r="O14" s="58" t="str">
        <f t="shared" si="4"/>
        <v>Saurime</v>
      </c>
      <c r="P14" s="244">
        <f t="shared" si="5"/>
        <v>0</v>
      </c>
      <c r="Q14" s="244">
        <f t="shared" si="6"/>
        <v>0</v>
      </c>
      <c r="S14" s="58">
        <f t="shared" si="11"/>
        <v>0</v>
      </c>
      <c r="T14" s="58">
        <f t="shared" si="12"/>
        <v>0</v>
      </c>
      <c r="U14" s="58">
        <f t="shared" si="13"/>
        <v>0</v>
      </c>
    </row>
    <row r="15" spans="1:21" x14ac:dyDescent="0.2">
      <c r="A15" s="245"/>
      <c r="B15" s="31" t="s">
        <v>371</v>
      </c>
      <c r="C15" s="242"/>
      <c r="D15" s="31">
        <f t="shared" si="0"/>
        <v>0</v>
      </c>
      <c r="E15" s="245"/>
      <c r="G15" s="58" t="str">
        <f t="shared" si="7"/>
        <v>Trout</v>
      </c>
      <c r="H15" s="58">
        <f t="shared" si="8"/>
        <v>0</v>
      </c>
      <c r="I15" s="58">
        <f t="shared" si="9"/>
        <v>0</v>
      </c>
      <c r="K15" s="58" t="str">
        <f t="shared" ref="K15:K26" si="14">A104</f>
        <v>Demonic, Duke</v>
      </c>
      <c r="L15" s="244">
        <f t="shared" ref="L15:L26" si="15">C104</f>
        <v>0</v>
      </c>
      <c r="M15" s="244">
        <f t="shared" ref="M15:M26" si="16">D104</f>
        <v>0</v>
      </c>
      <c r="O15" s="58" t="str">
        <f t="shared" si="4"/>
        <v>Shape Changer</v>
      </c>
      <c r="P15" s="244">
        <f t="shared" si="5"/>
        <v>0</v>
      </c>
      <c r="Q15" s="244">
        <f t="shared" si="6"/>
        <v>0</v>
      </c>
      <c r="S15" s="58">
        <f t="shared" si="11"/>
        <v>0</v>
      </c>
      <c r="T15" s="58">
        <f t="shared" si="12"/>
        <v>0</v>
      </c>
      <c r="U15" s="58">
        <f t="shared" si="13"/>
        <v>0</v>
      </c>
    </row>
    <row r="16" spans="1:21" x14ac:dyDescent="0.2">
      <c r="A16" s="245"/>
      <c r="B16" s="31" t="s">
        <v>371</v>
      </c>
      <c r="C16" s="242"/>
      <c r="D16" s="31">
        <f t="shared" si="0"/>
        <v>0</v>
      </c>
      <c r="E16" s="245"/>
      <c r="G16" s="58" t="str">
        <f t="shared" si="7"/>
        <v>Turtle</v>
      </c>
      <c r="H16" s="58">
        <f t="shared" si="8"/>
        <v>0</v>
      </c>
      <c r="I16" s="58">
        <f t="shared" si="9"/>
        <v>0</v>
      </c>
      <c r="K16" s="58" t="str">
        <f t="shared" si="14"/>
        <v>Demonic, Earl</v>
      </c>
      <c r="L16" s="244">
        <f t="shared" si="15"/>
        <v>0</v>
      </c>
      <c r="M16" s="244">
        <f t="shared" si="16"/>
        <v>0</v>
      </c>
      <c r="O16" s="58" t="str">
        <f t="shared" si="4"/>
        <v>Troll</v>
      </c>
      <c r="P16" s="244">
        <f t="shared" si="5"/>
        <v>0</v>
      </c>
      <c r="Q16" s="244">
        <f t="shared" si="6"/>
        <v>0</v>
      </c>
      <c r="S16" s="58">
        <f t="shared" si="11"/>
        <v>0</v>
      </c>
      <c r="T16" s="58">
        <f t="shared" si="12"/>
        <v>0</v>
      </c>
      <c r="U16" s="58">
        <f t="shared" si="13"/>
        <v>0</v>
      </c>
    </row>
    <row r="17" spans="1:21" x14ac:dyDescent="0.2">
      <c r="A17" s="245"/>
      <c r="B17" s="31" t="s">
        <v>371</v>
      </c>
      <c r="C17" s="242"/>
      <c r="D17" s="31">
        <f t="shared" si="0"/>
        <v>0</v>
      </c>
      <c r="E17" s="245"/>
      <c r="G17" s="243" t="str">
        <f>E39</f>
        <v>Animal, Land</v>
      </c>
      <c r="K17" s="58" t="str">
        <f t="shared" si="14"/>
        <v>Demonic, King</v>
      </c>
      <c r="L17" s="244">
        <f t="shared" si="15"/>
        <v>0</v>
      </c>
      <c r="M17" s="244">
        <f t="shared" si="16"/>
        <v>0</v>
      </c>
      <c r="O17" s="243" t="str">
        <f>E172</f>
        <v>Insects</v>
      </c>
      <c r="P17" s="244"/>
      <c r="Q17" s="244"/>
      <c r="S17" s="58">
        <f t="shared" si="11"/>
        <v>0</v>
      </c>
      <c r="T17" s="58">
        <f t="shared" si="12"/>
        <v>0</v>
      </c>
      <c r="U17" s="58">
        <f t="shared" si="13"/>
        <v>0</v>
      </c>
    </row>
    <row r="18" spans="1:21" x14ac:dyDescent="0.2">
      <c r="A18" s="245"/>
      <c r="B18" s="31" t="s">
        <v>371</v>
      </c>
      <c r="C18" s="242"/>
      <c r="D18" s="31">
        <f t="shared" si="0"/>
        <v>0</v>
      </c>
      <c r="E18" s="245"/>
      <c r="G18" s="58" t="str">
        <f t="shared" ref="G18:G60" si="17">A39</f>
        <v>Alligator</v>
      </c>
      <c r="H18" s="31">
        <f t="shared" ref="H18:H60" si="18">C39</f>
        <v>0</v>
      </c>
      <c r="I18" s="31">
        <f t="shared" ref="I18:I60" si="19">D39</f>
        <v>0</v>
      </c>
      <c r="K18" s="58" t="str">
        <f t="shared" si="14"/>
        <v>Demonic, Maquis</v>
      </c>
      <c r="L18" s="244">
        <f t="shared" si="15"/>
        <v>0</v>
      </c>
      <c r="M18" s="244">
        <f t="shared" si="16"/>
        <v>0</v>
      </c>
      <c r="O18" s="58" t="str">
        <f t="shared" ref="O18:O28" si="20">A172</f>
        <v>Ant</v>
      </c>
      <c r="P18" s="244">
        <f t="shared" ref="P18:P28" si="21">C172</f>
        <v>0</v>
      </c>
      <c r="Q18" s="244">
        <f t="shared" ref="Q18:Q28" si="22">D172</f>
        <v>0</v>
      </c>
      <c r="S18" s="58">
        <f t="shared" si="11"/>
        <v>0</v>
      </c>
      <c r="T18" s="58">
        <f t="shared" si="12"/>
        <v>0</v>
      </c>
      <c r="U18" s="58">
        <f t="shared" si="13"/>
        <v>0</v>
      </c>
    </row>
    <row r="19" spans="1:21" x14ac:dyDescent="0.2">
      <c r="A19" s="245"/>
      <c r="B19" s="31" t="s">
        <v>371</v>
      </c>
      <c r="C19" s="242"/>
      <c r="D19" s="31">
        <f t="shared" si="0"/>
        <v>0</v>
      </c>
      <c r="E19" s="245"/>
      <c r="G19" s="58" t="str">
        <f t="shared" si="17"/>
        <v>Amoeba</v>
      </c>
      <c r="H19" s="31">
        <f t="shared" si="18"/>
        <v>0</v>
      </c>
      <c r="I19" s="31">
        <f t="shared" si="19"/>
        <v>0</v>
      </c>
      <c r="K19" s="58" t="str">
        <f t="shared" si="14"/>
        <v>Demonic, President</v>
      </c>
      <c r="L19" s="244">
        <f t="shared" si="15"/>
        <v>0</v>
      </c>
      <c r="M19" s="244">
        <f t="shared" si="16"/>
        <v>0</v>
      </c>
      <c r="O19" s="58" t="str">
        <f t="shared" si="20"/>
        <v>Bee</v>
      </c>
      <c r="P19" s="244">
        <f t="shared" si="21"/>
        <v>0</v>
      </c>
      <c r="Q19" s="244">
        <f t="shared" si="22"/>
        <v>0</v>
      </c>
      <c r="S19" s="58">
        <f t="shared" si="11"/>
        <v>0</v>
      </c>
      <c r="T19" s="58">
        <f t="shared" si="12"/>
        <v>0</v>
      </c>
      <c r="U19" s="58">
        <f t="shared" si="13"/>
        <v>0</v>
      </c>
    </row>
    <row r="20" spans="1:21" x14ac:dyDescent="0.2">
      <c r="A20" s="245"/>
      <c r="B20" s="31" t="s">
        <v>371</v>
      </c>
      <c r="C20" s="242"/>
      <c r="D20" s="31">
        <f t="shared" si="0"/>
        <v>0</v>
      </c>
      <c r="E20" s="245"/>
      <c r="G20" s="58" t="str">
        <f t="shared" si="17"/>
        <v>Antelope</v>
      </c>
      <c r="H20" s="31">
        <f t="shared" si="18"/>
        <v>0</v>
      </c>
      <c r="I20" s="31">
        <f t="shared" si="19"/>
        <v>0</v>
      </c>
      <c r="K20" s="58" t="str">
        <f t="shared" si="14"/>
        <v>Demonic, Prince</v>
      </c>
      <c r="L20" s="244">
        <f t="shared" si="15"/>
        <v>0</v>
      </c>
      <c r="M20" s="244">
        <f t="shared" si="16"/>
        <v>0</v>
      </c>
      <c r="O20" s="58" t="str">
        <f t="shared" si="20"/>
        <v>Beetle</v>
      </c>
      <c r="P20" s="244">
        <f t="shared" si="21"/>
        <v>0</v>
      </c>
      <c r="Q20" s="244">
        <f t="shared" si="22"/>
        <v>0</v>
      </c>
      <c r="S20" s="58">
        <f t="shared" si="11"/>
        <v>0</v>
      </c>
      <c r="T20" s="58">
        <f t="shared" si="12"/>
        <v>0</v>
      </c>
      <c r="U20" s="58">
        <f t="shared" si="13"/>
        <v>0</v>
      </c>
    </row>
    <row r="21" spans="1:21" x14ac:dyDescent="0.2">
      <c r="A21" s="245"/>
      <c r="B21" s="31" t="s">
        <v>371</v>
      </c>
      <c r="C21" s="242"/>
      <c r="D21" s="31">
        <f t="shared" si="0"/>
        <v>0</v>
      </c>
      <c r="E21" s="245"/>
      <c r="G21" s="58" t="str">
        <f t="shared" si="17"/>
        <v>Baboon</v>
      </c>
      <c r="H21" s="31">
        <f t="shared" si="18"/>
        <v>0</v>
      </c>
      <c r="I21" s="31">
        <f t="shared" si="19"/>
        <v>0</v>
      </c>
      <c r="K21" s="58" t="str">
        <f t="shared" si="14"/>
        <v>Devil</v>
      </c>
      <c r="L21" s="244">
        <f t="shared" si="15"/>
        <v>0</v>
      </c>
      <c r="M21" s="244">
        <f t="shared" si="16"/>
        <v>0</v>
      </c>
      <c r="O21" s="58" t="str">
        <f t="shared" si="20"/>
        <v>Black Widow</v>
      </c>
      <c r="P21" s="244">
        <f t="shared" si="21"/>
        <v>0</v>
      </c>
      <c r="Q21" s="244">
        <f t="shared" si="22"/>
        <v>0</v>
      </c>
      <c r="S21" s="58">
        <f t="shared" si="11"/>
        <v>0</v>
      </c>
      <c r="T21" s="58">
        <f t="shared" si="12"/>
        <v>0</v>
      </c>
      <c r="U21" s="58">
        <f t="shared" si="13"/>
        <v>0</v>
      </c>
    </row>
    <row r="22" spans="1:21" x14ac:dyDescent="0.2">
      <c r="A22" s="245"/>
      <c r="B22" s="31" t="s">
        <v>371</v>
      </c>
      <c r="C22" s="242"/>
      <c r="D22" s="31">
        <f t="shared" si="0"/>
        <v>0</v>
      </c>
      <c r="E22" s="245"/>
      <c r="G22" s="58" t="str">
        <f t="shared" si="17"/>
        <v>Bear</v>
      </c>
      <c r="H22" s="31">
        <f t="shared" si="18"/>
        <v>0</v>
      </c>
      <c r="I22" s="31">
        <f t="shared" si="19"/>
        <v>0</v>
      </c>
      <c r="K22" s="58" t="str">
        <f t="shared" si="14"/>
        <v>Devil, Half</v>
      </c>
      <c r="L22" s="244">
        <f t="shared" si="15"/>
        <v>0</v>
      </c>
      <c r="M22" s="244">
        <f t="shared" si="16"/>
        <v>0</v>
      </c>
      <c r="O22" s="58" t="str">
        <f t="shared" si="20"/>
        <v>Fire Ant</v>
      </c>
      <c r="P22" s="244">
        <f t="shared" si="21"/>
        <v>0</v>
      </c>
      <c r="Q22" s="244">
        <f t="shared" si="22"/>
        <v>0</v>
      </c>
      <c r="S22" s="58">
        <f t="shared" si="11"/>
        <v>0</v>
      </c>
      <c r="T22" s="58">
        <f t="shared" si="12"/>
        <v>0</v>
      </c>
      <c r="U22" s="58">
        <f t="shared" si="13"/>
        <v>0</v>
      </c>
    </row>
    <row r="23" spans="1:21" x14ac:dyDescent="0.2">
      <c r="A23" s="245"/>
      <c r="B23" s="31" t="s">
        <v>371</v>
      </c>
      <c r="C23" s="242"/>
      <c r="D23" s="31">
        <f t="shared" si="0"/>
        <v>0</v>
      </c>
      <c r="E23" s="245"/>
      <c r="G23" s="58" t="str">
        <f t="shared" si="17"/>
        <v>Beaver</v>
      </c>
      <c r="H23" s="31">
        <f t="shared" si="18"/>
        <v>0</v>
      </c>
      <c r="I23" s="31">
        <f t="shared" si="19"/>
        <v>0</v>
      </c>
      <c r="K23" s="58" t="str">
        <f t="shared" si="14"/>
        <v>Hellhound</v>
      </c>
      <c r="L23" s="244">
        <f t="shared" si="15"/>
        <v>0</v>
      </c>
      <c r="M23" s="244">
        <f t="shared" si="16"/>
        <v>0</v>
      </c>
      <c r="O23" s="58" t="str">
        <f t="shared" si="20"/>
        <v>Housefly</v>
      </c>
      <c r="P23" s="244">
        <f t="shared" si="21"/>
        <v>0</v>
      </c>
      <c r="Q23" s="244">
        <f t="shared" si="22"/>
        <v>0</v>
      </c>
      <c r="S23" s="58">
        <f t="shared" si="11"/>
        <v>0</v>
      </c>
      <c r="T23" s="58">
        <f t="shared" si="12"/>
        <v>0</v>
      </c>
      <c r="U23" s="58">
        <f t="shared" si="13"/>
        <v>0</v>
      </c>
    </row>
    <row r="24" spans="1:21" x14ac:dyDescent="0.2">
      <c r="A24" s="245"/>
      <c r="B24" s="31" t="s">
        <v>371</v>
      </c>
      <c r="C24" s="242"/>
      <c r="D24" s="31">
        <f t="shared" si="0"/>
        <v>0</v>
      </c>
      <c r="E24" s="245"/>
      <c r="G24" s="58" t="str">
        <f t="shared" si="17"/>
        <v>Boar</v>
      </c>
      <c r="H24" s="31">
        <f t="shared" si="18"/>
        <v>0</v>
      </c>
      <c r="I24" s="31">
        <f t="shared" si="19"/>
        <v>0</v>
      </c>
      <c r="K24" s="58" t="str">
        <f t="shared" si="14"/>
        <v>Imp</v>
      </c>
      <c r="L24" s="244">
        <f t="shared" si="15"/>
        <v>0</v>
      </c>
      <c r="M24" s="244">
        <f t="shared" si="16"/>
        <v>0</v>
      </c>
      <c r="O24" s="58" t="str">
        <f t="shared" si="20"/>
        <v>Killer Bee</v>
      </c>
      <c r="P24" s="244">
        <f t="shared" si="21"/>
        <v>0</v>
      </c>
      <c r="Q24" s="244">
        <f t="shared" si="22"/>
        <v>0</v>
      </c>
      <c r="S24" s="58">
        <f t="shared" si="11"/>
        <v>0</v>
      </c>
      <c r="T24" s="58">
        <f t="shared" si="12"/>
        <v>0</v>
      </c>
      <c r="U24" s="58">
        <f t="shared" si="13"/>
        <v>0</v>
      </c>
    </row>
    <row r="25" spans="1:21" x14ac:dyDescent="0.2">
      <c r="A25" s="58" t="s">
        <v>375</v>
      </c>
      <c r="B25" s="31" t="s">
        <v>373</v>
      </c>
      <c r="C25" s="246"/>
      <c r="D25" s="31">
        <f t="shared" si="0"/>
        <v>0</v>
      </c>
      <c r="E25" s="58" t="s">
        <v>376</v>
      </c>
      <c r="G25" s="58" t="str">
        <f t="shared" si="17"/>
        <v>Buffalo</v>
      </c>
      <c r="H25" s="31">
        <f t="shared" si="18"/>
        <v>0</v>
      </c>
      <c r="I25" s="31">
        <f t="shared" si="19"/>
        <v>0</v>
      </c>
      <c r="K25" s="58" t="str">
        <f t="shared" si="14"/>
        <v>Incubus</v>
      </c>
      <c r="L25" s="244">
        <f t="shared" si="15"/>
        <v>0</v>
      </c>
      <c r="M25" s="244">
        <f t="shared" si="16"/>
        <v>0</v>
      </c>
      <c r="O25" s="58" t="str">
        <f t="shared" si="20"/>
        <v>Spider</v>
      </c>
      <c r="P25" s="244">
        <f t="shared" si="21"/>
        <v>0</v>
      </c>
      <c r="Q25" s="244">
        <f t="shared" si="22"/>
        <v>0</v>
      </c>
      <c r="S25" s="58">
        <f t="shared" si="11"/>
        <v>0</v>
      </c>
      <c r="T25" s="58">
        <f t="shared" si="12"/>
        <v>0</v>
      </c>
      <c r="U25" s="58">
        <f t="shared" si="13"/>
        <v>0</v>
      </c>
    </row>
    <row r="26" spans="1:21" x14ac:dyDescent="0.2">
      <c r="A26" s="58" t="s">
        <v>377</v>
      </c>
      <c r="B26" s="31" t="s">
        <v>373</v>
      </c>
      <c r="C26" s="247"/>
      <c r="D26" s="31">
        <f t="shared" si="0"/>
        <v>0</v>
      </c>
      <c r="E26" s="58" t="s">
        <v>376</v>
      </c>
      <c r="G26" s="58" t="str">
        <f t="shared" si="17"/>
        <v>Cat</v>
      </c>
      <c r="H26" s="58">
        <f t="shared" si="18"/>
        <v>0</v>
      </c>
      <c r="I26" s="58">
        <f t="shared" si="19"/>
        <v>0</v>
      </c>
      <c r="K26" s="58" t="str">
        <f t="shared" si="14"/>
        <v>Succubus</v>
      </c>
      <c r="L26" s="244">
        <f t="shared" si="15"/>
        <v>0</v>
      </c>
      <c r="M26" s="244">
        <f t="shared" si="16"/>
        <v>0</v>
      </c>
      <c r="O26" s="58" t="str">
        <f t="shared" si="20"/>
        <v>Spider, Phase</v>
      </c>
      <c r="P26" s="244">
        <f t="shared" si="21"/>
        <v>0</v>
      </c>
      <c r="Q26" s="244">
        <f t="shared" si="22"/>
        <v>0</v>
      </c>
      <c r="S26" s="58">
        <f t="shared" si="11"/>
        <v>0</v>
      </c>
      <c r="T26" s="58">
        <f t="shared" si="12"/>
        <v>0</v>
      </c>
      <c r="U26" s="58">
        <f t="shared" si="13"/>
        <v>0</v>
      </c>
    </row>
    <row r="27" spans="1:21" x14ac:dyDescent="0.2">
      <c r="A27" s="58" t="s">
        <v>378</v>
      </c>
      <c r="B27" s="31" t="s">
        <v>373</v>
      </c>
      <c r="C27" s="247"/>
      <c r="D27" s="31">
        <f t="shared" si="0"/>
        <v>0</v>
      </c>
      <c r="E27" s="58" t="s">
        <v>376</v>
      </c>
      <c r="G27" s="58" t="str">
        <f t="shared" si="17"/>
        <v>Cheetah</v>
      </c>
      <c r="H27" s="58">
        <f t="shared" si="18"/>
        <v>0</v>
      </c>
      <c r="I27" s="58">
        <f t="shared" si="19"/>
        <v>0</v>
      </c>
      <c r="K27" s="243" t="str">
        <f>E116</f>
        <v>Draconic</v>
      </c>
      <c r="L27" s="244"/>
      <c r="M27" s="244"/>
      <c r="O27" s="58" t="str">
        <f t="shared" si="20"/>
        <v>Spider, Trapdoor</v>
      </c>
      <c r="P27" s="244">
        <f t="shared" si="21"/>
        <v>0</v>
      </c>
      <c r="Q27" s="244">
        <f t="shared" si="22"/>
        <v>0</v>
      </c>
      <c r="S27" s="58">
        <f t="shared" si="11"/>
        <v>0</v>
      </c>
      <c r="T27" s="58">
        <f t="shared" si="12"/>
        <v>0</v>
      </c>
      <c r="U27" s="58">
        <f t="shared" si="13"/>
        <v>0</v>
      </c>
    </row>
    <row r="28" spans="1:21" x14ac:dyDescent="0.2">
      <c r="A28" s="58" t="s">
        <v>379</v>
      </c>
      <c r="B28" s="31" t="s">
        <v>373</v>
      </c>
      <c r="C28" s="247"/>
      <c r="D28" s="31">
        <f t="shared" si="0"/>
        <v>0</v>
      </c>
      <c r="E28" s="58" t="s">
        <v>376</v>
      </c>
      <c r="G28" s="58" t="str">
        <f t="shared" si="17"/>
        <v>Cow</v>
      </c>
      <c r="H28" s="58">
        <f t="shared" si="18"/>
        <v>0</v>
      </c>
      <c r="I28" s="58">
        <f t="shared" si="19"/>
        <v>0</v>
      </c>
      <c r="K28" s="58" t="str">
        <f>A116</f>
        <v>Dragon, Black</v>
      </c>
      <c r="L28" s="244">
        <f t="shared" ref="L28:M31" si="23">C116</f>
        <v>0</v>
      </c>
      <c r="M28" s="244">
        <f t="shared" si="23"/>
        <v>0</v>
      </c>
      <c r="O28" s="58" t="str">
        <f t="shared" si="20"/>
        <v>Tarantula</v>
      </c>
      <c r="P28" s="244">
        <f t="shared" si="21"/>
        <v>0</v>
      </c>
      <c r="Q28" s="244">
        <f t="shared" si="22"/>
        <v>0</v>
      </c>
      <c r="S28" s="58">
        <f t="shared" si="11"/>
        <v>0</v>
      </c>
      <c r="T28" s="58">
        <f t="shared" si="12"/>
        <v>0</v>
      </c>
      <c r="U28" s="58">
        <f t="shared" si="13"/>
        <v>0</v>
      </c>
    </row>
    <row r="29" spans="1:21" x14ac:dyDescent="0.2">
      <c r="A29" s="58" t="s">
        <v>380</v>
      </c>
      <c r="B29" s="31" t="s">
        <v>373</v>
      </c>
      <c r="C29" s="247"/>
      <c r="D29" s="31">
        <f t="shared" si="0"/>
        <v>0</v>
      </c>
      <c r="E29" s="58" t="s">
        <v>376</v>
      </c>
      <c r="G29" s="58" t="str">
        <f t="shared" si="17"/>
        <v>Deer</v>
      </c>
      <c r="H29" s="58">
        <f t="shared" si="18"/>
        <v>0</v>
      </c>
      <c r="I29" s="58">
        <f t="shared" si="19"/>
        <v>0</v>
      </c>
      <c r="K29" s="58" t="str">
        <f>A117</f>
        <v>Dragon, Gold</v>
      </c>
      <c r="L29" s="244">
        <f t="shared" si="23"/>
        <v>0</v>
      </c>
      <c r="M29" s="244">
        <f t="shared" si="23"/>
        <v>0</v>
      </c>
      <c r="O29" s="243" t="str">
        <f>E183</f>
        <v>Magical</v>
      </c>
      <c r="P29" s="244"/>
      <c r="Q29" s="244"/>
      <c r="S29" s="58">
        <f t="shared" si="11"/>
        <v>0</v>
      </c>
      <c r="T29" s="58">
        <f t="shared" si="12"/>
        <v>0</v>
      </c>
      <c r="U29" s="58">
        <f t="shared" si="13"/>
        <v>0</v>
      </c>
    </row>
    <row r="30" spans="1:21" x14ac:dyDescent="0.2">
      <c r="A30" s="58" t="s">
        <v>54</v>
      </c>
      <c r="B30" s="31" t="s">
        <v>373</v>
      </c>
      <c r="C30" s="247"/>
      <c r="D30" s="31">
        <f t="shared" si="0"/>
        <v>0</v>
      </c>
      <c r="E30" s="58" t="s">
        <v>376</v>
      </c>
      <c r="G30" s="58" t="str">
        <f t="shared" si="17"/>
        <v>Dingo</v>
      </c>
      <c r="H30" s="58">
        <f t="shared" si="18"/>
        <v>0</v>
      </c>
      <c r="I30" s="58">
        <f t="shared" si="19"/>
        <v>0</v>
      </c>
      <c r="K30" s="58" t="str">
        <f>A118</f>
        <v>Dragon, Green</v>
      </c>
      <c r="L30" s="244">
        <f t="shared" si="23"/>
        <v>0</v>
      </c>
      <c r="M30" s="244">
        <f t="shared" si="23"/>
        <v>0</v>
      </c>
      <c r="O30" s="58" t="str">
        <f t="shared" ref="O30:O40" si="24">A183</f>
        <v>Efreeti</v>
      </c>
      <c r="P30" s="244">
        <f t="shared" ref="P30:P40" si="25">C183</f>
        <v>0</v>
      </c>
      <c r="Q30" s="244">
        <f t="shared" ref="Q30:Q40" si="26">D183</f>
        <v>0</v>
      </c>
      <c r="S30" s="58">
        <f t="shared" si="11"/>
        <v>0</v>
      </c>
      <c r="T30" s="58">
        <f t="shared" si="12"/>
        <v>0</v>
      </c>
      <c r="U30" s="58">
        <f t="shared" si="13"/>
        <v>0</v>
      </c>
    </row>
    <row r="31" spans="1:21" x14ac:dyDescent="0.2">
      <c r="A31" s="58" t="s">
        <v>381</v>
      </c>
      <c r="B31" s="31" t="s">
        <v>373</v>
      </c>
      <c r="C31" s="247"/>
      <c r="D31" s="31">
        <f t="shared" si="0"/>
        <v>0</v>
      </c>
      <c r="E31" s="58" t="s">
        <v>376</v>
      </c>
      <c r="G31" s="58" t="str">
        <f t="shared" si="17"/>
        <v>Dog</v>
      </c>
      <c r="H31" s="58">
        <f t="shared" si="18"/>
        <v>0</v>
      </c>
      <c r="I31" s="58">
        <f t="shared" si="19"/>
        <v>0</v>
      </c>
      <c r="K31" s="58" t="str">
        <f>A119</f>
        <v>Dragon, Red</v>
      </c>
      <c r="L31" s="244">
        <f t="shared" si="23"/>
        <v>0</v>
      </c>
      <c r="M31" s="244">
        <f t="shared" si="23"/>
        <v>0</v>
      </c>
      <c r="O31" s="58" t="str">
        <f t="shared" si="24"/>
        <v>Elemental, Air</v>
      </c>
      <c r="P31" s="244">
        <f t="shared" si="25"/>
        <v>0</v>
      </c>
      <c r="Q31" s="244">
        <f t="shared" si="26"/>
        <v>0</v>
      </c>
      <c r="S31" s="58">
        <f t="shared" si="11"/>
        <v>0</v>
      </c>
      <c r="T31" s="58">
        <f t="shared" si="12"/>
        <v>0</v>
      </c>
      <c r="U31" s="58">
        <f t="shared" si="13"/>
        <v>0</v>
      </c>
    </row>
    <row r="32" spans="1:21" x14ac:dyDescent="0.2">
      <c r="A32" s="58" t="s">
        <v>382</v>
      </c>
      <c r="B32" s="31" t="s">
        <v>373</v>
      </c>
      <c r="C32" s="247"/>
      <c r="D32" s="31">
        <f t="shared" si="0"/>
        <v>0</v>
      </c>
      <c r="E32" s="58" t="s">
        <v>376</v>
      </c>
      <c r="G32" s="58" t="str">
        <f t="shared" si="17"/>
        <v>Elephant</v>
      </c>
      <c r="H32" s="58">
        <f t="shared" si="18"/>
        <v>0</v>
      </c>
      <c r="I32" s="58">
        <f t="shared" si="19"/>
        <v>0</v>
      </c>
      <c r="K32" s="243" t="str">
        <f>E120</f>
        <v>Equines</v>
      </c>
      <c r="L32" s="244"/>
      <c r="M32" s="244"/>
      <c r="O32" s="58" t="str">
        <f t="shared" si="24"/>
        <v>Elemental, Earth</v>
      </c>
      <c r="P32" s="244">
        <f t="shared" si="25"/>
        <v>0</v>
      </c>
      <c r="Q32" s="244">
        <f t="shared" si="26"/>
        <v>0</v>
      </c>
    </row>
    <row r="33" spans="1:17" x14ac:dyDescent="0.2">
      <c r="A33" s="58" t="s">
        <v>383</v>
      </c>
      <c r="B33" s="31" t="s">
        <v>373</v>
      </c>
      <c r="C33" s="247"/>
      <c r="D33" s="31">
        <f t="shared" si="0"/>
        <v>0</v>
      </c>
      <c r="E33" s="58" t="s">
        <v>376</v>
      </c>
      <c r="G33" s="58" t="str">
        <f t="shared" si="17"/>
        <v>Ferret</v>
      </c>
      <c r="H33" s="58">
        <f t="shared" si="18"/>
        <v>0</v>
      </c>
      <c r="I33" s="58">
        <f t="shared" si="19"/>
        <v>0</v>
      </c>
      <c r="K33" s="58" t="str">
        <f>A120</f>
        <v>Camel</v>
      </c>
      <c r="L33" s="244">
        <f t="shared" ref="L33:M37" si="27">C120</f>
        <v>0</v>
      </c>
      <c r="M33" s="244">
        <f t="shared" si="27"/>
        <v>0</v>
      </c>
      <c r="O33" s="58" t="str">
        <f t="shared" si="24"/>
        <v>Elemental, Fire</v>
      </c>
      <c r="P33" s="244">
        <f t="shared" si="25"/>
        <v>0</v>
      </c>
      <c r="Q33" s="244">
        <f t="shared" si="26"/>
        <v>0</v>
      </c>
    </row>
    <row r="34" spans="1:17" x14ac:dyDescent="0.2">
      <c r="A34" s="58" t="s">
        <v>384</v>
      </c>
      <c r="B34" s="31" t="s">
        <v>373</v>
      </c>
      <c r="C34" s="247"/>
      <c r="D34" s="31">
        <f t="shared" si="0"/>
        <v>0</v>
      </c>
      <c r="E34" s="58" t="s">
        <v>376</v>
      </c>
      <c r="G34" s="58" t="str">
        <f t="shared" si="17"/>
        <v>Fox</v>
      </c>
      <c r="H34" s="58">
        <f t="shared" si="18"/>
        <v>0</v>
      </c>
      <c r="I34" s="58">
        <f t="shared" si="19"/>
        <v>0</v>
      </c>
      <c r="K34" s="58" t="str">
        <f>A121</f>
        <v>Donkey</v>
      </c>
      <c r="L34" s="244">
        <f t="shared" si="27"/>
        <v>0</v>
      </c>
      <c r="M34" s="244">
        <f t="shared" si="27"/>
        <v>0</v>
      </c>
      <c r="O34" s="58" t="str">
        <f t="shared" si="24"/>
        <v>Elemental, Water</v>
      </c>
      <c r="P34" s="244">
        <f t="shared" si="25"/>
        <v>0</v>
      </c>
      <c r="Q34" s="244">
        <f t="shared" si="26"/>
        <v>0</v>
      </c>
    </row>
    <row r="35" spans="1:17" x14ac:dyDescent="0.2">
      <c r="A35" s="58" t="s">
        <v>385</v>
      </c>
      <c r="B35" s="31" t="s">
        <v>373</v>
      </c>
      <c r="C35" s="247"/>
      <c r="D35" s="31">
        <f t="shared" si="0"/>
        <v>0</v>
      </c>
      <c r="E35" s="58" t="s">
        <v>376</v>
      </c>
      <c r="G35" s="58" t="str">
        <f t="shared" si="17"/>
        <v>Giraffe</v>
      </c>
      <c r="H35" s="58">
        <f t="shared" si="18"/>
        <v>0</v>
      </c>
      <c r="I35" s="58">
        <f t="shared" si="19"/>
        <v>0</v>
      </c>
      <c r="K35" s="58" t="str">
        <f>A122</f>
        <v>Horse</v>
      </c>
      <c r="L35" s="244">
        <f t="shared" si="27"/>
        <v>0</v>
      </c>
      <c r="M35" s="244">
        <f t="shared" si="27"/>
        <v>0</v>
      </c>
      <c r="O35" s="58" t="str">
        <f t="shared" si="24"/>
        <v>Golem, Clay</v>
      </c>
      <c r="P35" s="244">
        <f t="shared" si="25"/>
        <v>0</v>
      </c>
      <c r="Q35" s="244">
        <f t="shared" si="26"/>
        <v>0</v>
      </c>
    </row>
    <row r="36" spans="1:17" x14ac:dyDescent="0.2">
      <c r="A36" s="58" t="s">
        <v>386</v>
      </c>
      <c r="B36" s="31" t="s">
        <v>373</v>
      </c>
      <c r="C36" s="247"/>
      <c r="D36" s="31">
        <f t="shared" si="0"/>
        <v>0</v>
      </c>
      <c r="E36" s="58" t="s">
        <v>376</v>
      </c>
      <c r="G36" s="58" t="str">
        <f t="shared" si="17"/>
        <v>Goat</v>
      </c>
      <c r="H36" s="58">
        <f t="shared" si="18"/>
        <v>0</v>
      </c>
      <c r="I36" s="58">
        <f t="shared" si="19"/>
        <v>0</v>
      </c>
      <c r="K36" s="58" t="str">
        <f>A123</f>
        <v>Mule</v>
      </c>
      <c r="L36" s="244">
        <f t="shared" si="27"/>
        <v>0</v>
      </c>
      <c r="M36" s="244">
        <f t="shared" si="27"/>
        <v>0</v>
      </c>
      <c r="O36" s="58" t="str">
        <f t="shared" si="24"/>
        <v>Golem, Flesh</v>
      </c>
      <c r="P36" s="244">
        <f t="shared" si="25"/>
        <v>0</v>
      </c>
      <c r="Q36" s="244">
        <f t="shared" si="26"/>
        <v>0</v>
      </c>
    </row>
    <row r="37" spans="1:17" x14ac:dyDescent="0.2">
      <c r="A37" s="58" t="s">
        <v>387</v>
      </c>
      <c r="B37" s="31" t="s">
        <v>373</v>
      </c>
      <c r="C37" s="247"/>
      <c r="D37" s="31">
        <f t="shared" si="0"/>
        <v>0</v>
      </c>
      <c r="E37" s="58" t="s">
        <v>376</v>
      </c>
      <c r="G37" s="58" t="str">
        <f t="shared" si="17"/>
        <v>Gorilla</v>
      </c>
      <c r="H37" s="58">
        <f t="shared" si="18"/>
        <v>0</v>
      </c>
      <c r="I37" s="58">
        <f t="shared" si="19"/>
        <v>0</v>
      </c>
      <c r="K37" s="58" t="str">
        <f>A124</f>
        <v>Palfrey</v>
      </c>
      <c r="L37" s="244">
        <f t="shared" si="27"/>
        <v>0</v>
      </c>
      <c r="M37" s="244">
        <f t="shared" si="27"/>
        <v>0</v>
      </c>
      <c r="O37" s="58" t="str">
        <f t="shared" si="24"/>
        <v>Golem, Iron</v>
      </c>
      <c r="P37" s="244">
        <f t="shared" si="25"/>
        <v>0</v>
      </c>
      <c r="Q37" s="244">
        <f t="shared" si="26"/>
        <v>0</v>
      </c>
    </row>
    <row r="38" spans="1:17" x14ac:dyDescent="0.2">
      <c r="A38" s="58" t="s">
        <v>388</v>
      </c>
      <c r="B38" s="31" t="s">
        <v>373</v>
      </c>
      <c r="C38" s="247"/>
      <c r="D38" s="31">
        <f t="shared" si="0"/>
        <v>0</v>
      </c>
      <c r="E38" s="58" t="s">
        <v>376</v>
      </c>
      <c r="G38" s="58" t="str">
        <f t="shared" si="17"/>
        <v>Hare</v>
      </c>
      <c r="H38" s="58">
        <f t="shared" si="18"/>
        <v>0</v>
      </c>
      <c r="I38" s="58">
        <f t="shared" si="19"/>
        <v>0</v>
      </c>
      <c r="K38" s="243" t="str">
        <f>E125</f>
        <v>Fantastical</v>
      </c>
      <c r="L38" s="244"/>
      <c r="M38" s="244"/>
      <c r="O38" s="58" t="str">
        <f t="shared" si="24"/>
        <v>Golem, Rag &amp; String</v>
      </c>
      <c r="P38" s="244">
        <f t="shared" si="25"/>
        <v>0</v>
      </c>
      <c r="Q38" s="244">
        <f t="shared" si="26"/>
        <v>0</v>
      </c>
    </row>
    <row r="39" spans="1:17" x14ac:dyDescent="0.2">
      <c r="A39" s="58" t="s">
        <v>389</v>
      </c>
      <c r="B39" s="31" t="s">
        <v>373</v>
      </c>
      <c r="C39" s="247"/>
      <c r="D39" s="31">
        <f t="shared" si="0"/>
        <v>0</v>
      </c>
      <c r="E39" s="58" t="s">
        <v>390</v>
      </c>
      <c r="G39" s="58" t="str">
        <f t="shared" si="17"/>
        <v>Iguana</v>
      </c>
      <c r="H39" s="58">
        <f t="shared" si="18"/>
        <v>0</v>
      </c>
      <c r="I39" s="58">
        <f t="shared" si="19"/>
        <v>0</v>
      </c>
      <c r="K39" s="58" t="str">
        <f t="shared" ref="K39:K60" si="28">A125</f>
        <v>Basilisk</v>
      </c>
      <c r="L39" s="244">
        <f t="shared" ref="L39:L60" si="29">C125</f>
        <v>0</v>
      </c>
      <c r="M39" s="244">
        <f t="shared" ref="M39:M60" si="30">D125</f>
        <v>0</v>
      </c>
      <c r="O39" s="58" t="str">
        <f t="shared" si="24"/>
        <v>Golem, Stone</v>
      </c>
      <c r="P39" s="244">
        <f t="shared" si="25"/>
        <v>0</v>
      </c>
      <c r="Q39" s="244">
        <f t="shared" si="26"/>
        <v>0</v>
      </c>
    </row>
    <row r="40" spans="1:17" x14ac:dyDescent="0.2">
      <c r="A40" s="58" t="s">
        <v>391</v>
      </c>
      <c r="B40" s="31" t="s">
        <v>373</v>
      </c>
      <c r="C40" s="247"/>
      <c r="D40" s="31">
        <f t="shared" si="0"/>
        <v>0</v>
      </c>
      <c r="E40" s="58" t="s">
        <v>390</v>
      </c>
      <c r="G40" s="58" t="str">
        <f t="shared" si="17"/>
        <v>Leopard</v>
      </c>
      <c r="H40" s="58">
        <f t="shared" si="18"/>
        <v>0</v>
      </c>
      <c r="I40" s="58">
        <f t="shared" si="19"/>
        <v>0</v>
      </c>
      <c r="K40" s="58" t="str">
        <f t="shared" si="28"/>
        <v>Centaur</v>
      </c>
      <c r="L40" s="244">
        <f t="shared" si="29"/>
        <v>0</v>
      </c>
      <c r="M40" s="244">
        <f t="shared" si="30"/>
        <v>0</v>
      </c>
      <c r="O40" s="58" t="str">
        <f t="shared" si="24"/>
        <v>Golem, Wood</v>
      </c>
      <c r="P40" s="244">
        <f t="shared" si="25"/>
        <v>0</v>
      </c>
      <c r="Q40" s="244">
        <f t="shared" si="26"/>
        <v>0</v>
      </c>
    </row>
    <row r="41" spans="1:17" x14ac:dyDescent="0.2">
      <c r="A41" s="58" t="s">
        <v>392</v>
      </c>
      <c r="B41" s="31" t="s">
        <v>373</v>
      </c>
      <c r="C41" s="247"/>
      <c r="D41" s="31">
        <f t="shared" si="0"/>
        <v>0</v>
      </c>
      <c r="E41" s="58" t="s">
        <v>390</v>
      </c>
      <c r="G41" s="58" t="str">
        <f t="shared" si="17"/>
        <v>Lion</v>
      </c>
      <c r="H41" s="58">
        <f t="shared" si="18"/>
        <v>0</v>
      </c>
      <c r="I41" s="58">
        <f t="shared" si="19"/>
        <v>0</v>
      </c>
      <c r="K41" s="58" t="str">
        <f t="shared" si="28"/>
        <v>Dire Wolf</v>
      </c>
      <c r="L41" s="244">
        <f t="shared" si="29"/>
        <v>0</v>
      </c>
      <c r="M41" s="244">
        <f t="shared" si="30"/>
        <v>0</v>
      </c>
      <c r="O41" s="243" t="str">
        <f>E194</f>
        <v>Snakes</v>
      </c>
      <c r="P41" s="244"/>
      <c r="Q41" s="244"/>
    </row>
    <row r="42" spans="1:17" x14ac:dyDescent="0.2">
      <c r="A42" s="58" t="s">
        <v>393</v>
      </c>
      <c r="B42" s="31" t="s">
        <v>373</v>
      </c>
      <c r="C42" s="247"/>
      <c r="D42" s="31">
        <f t="shared" si="0"/>
        <v>0</v>
      </c>
      <c r="E42" s="58" t="s">
        <v>390</v>
      </c>
      <c r="G42" s="58" t="str">
        <f t="shared" si="17"/>
        <v>Lizard</v>
      </c>
      <c r="H42" s="58">
        <f t="shared" si="18"/>
        <v>0</v>
      </c>
      <c r="I42" s="58">
        <f t="shared" si="19"/>
        <v>0</v>
      </c>
      <c r="K42" s="58" t="str">
        <f t="shared" si="28"/>
        <v>Dryad</v>
      </c>
      <c r="L42" s="244">
        <f t="shared" si="29"/>
        <v>0</v>
      </c>
      <c r="M42" s="244">
        <f t="shared" si="30"/>
        <v>0</v>
      </c>
      <c r="O42" s="58" t="str">
        <f t="shared" ref="O42:O48" si="31">A194</f>
        <v>Adder</v>
      </c>
      <c r="P42" s="244">
        <f t="shared" ref="P42:Q48" si="32">C194</f>
        <v>0</v>
      </c>
      <c r="Q42" s="244">
        <f t="shared" si="32"/>
        <v>0</v>
      </c>
    </row>
    <row r="43" spans="1:17" x14ac:dyDescent="0.2">
      <c r="A43" s="58" t="s">
        <v>394</v>
      </c>
      <c r="B43" s="31" t="s">
        <v>373</v>
      </c>
      <c r="C43" s="247"/>
      <c r="D43" s="31">
        <f t="shared" si="0"/>
        <v>0</v>
      </c>
      <c r="E43" s="58" t="s">
        <v>390</v>
      </c>
      <c r="G43" s="58" t="str">
        <f t="shared" si="17"/>
        <v>Mongoose</v>
      </c>
      <c r="H43" s="58">
        <f t="shared" si="18"/>
        <v>0</v>
      </c>
      <c r="I43" s="58">
        <f t="shared" si="19"/>
        <v>0</v>
      </c>
      <c r="K43" s="58" t="str">
        <f t="shared" si="28"/>
        <v>Gargoyle</v>
      </c>
      <c r="L43" s="244">
        <f t="shared" si="29"/>
        <v>0</v>
      </c>
      <c r="M43" s="244">
        <f t="shared" si="30"/>
        <v>0</v>
      </c>
      <c r="O43" s="58" t="str">
        <f t="shared" si="31"/>
        <v>Asp</v>
      </c>
      <c r="P43" s="244">
        <f t="shared" si="32"/>
        <v>0</v>
      </c>
      <c r="Q43" s="244">
        <f t="shared" si="32"/>
        <v>0</v>
      </c>
    </row>
    <row r="44" spans="1:17" x14ac:dyDescent="0.2">
      <c r="A44" s="58" t="s">
        <v>395</v>
      </c>
      <c r="B44" s="31" t="s">
        <v>373</v>
      </c>
      <c r="C44" s="247"/>
      <c r="D44" s="31">
        <f t="shared" si="0"/>
        <v>0</v>
      </c>
      <c r="E44" s="58" t="s">
        <v>390</v>
      </c>
      <c r="G44" s="58" t="str">
        <f t="shared" si="17"/>
        <v>Monkey</v>
      </c>
      <c r="H44" s="58">
        <f t="shared" si="18"/>
        <v>0</v>
      </c>
      <c r="I44" s="58">
        <f t="shared" si="19"/>
        <v>0</v>
      </c>
      <c r="K44" s="58" t="str">
        <f t="shared" si="28"/>
        <v>Gorgon</v>
      </c>
      <c r="L44" s="244">
        <f t="shared" si="29"/>
        <v>0</v>
      </c>
      <c r="M44" s="244">
        <f t="shared" si="30"/>
        <v>0</v>
      </c>
      <c r="O44" s="58" t="str">
        <f t="shared" si="31"/>
        <v>Cobra</v>
      </c>
      <c r="P44" s="244">
        <f t="shared" si="32"/>
        <v>0</v>
      </c>
      <c r="Q44" s="244">
        <f t="shared" si="32"/>
        <v>0</v>
      </c>
    </row>
    <row r="45" spans="1:17" x14ac:dyDescent="0.2">
      <c r="A45" s="58" t="s">
        <v>396</v>
      </c>
      <c r="B45" s="31" t="s">
        <v>373</v>
      </c>
      <c r="C45" s="247"/>
      <c r="D45" s="31">
        <f t="shared" si="0"/>
        <v>0</v>
      </c>
      <c r="E45" s="58" t="s">
        <v>390</v>
      </c>
      <c r="G45" s="58" t="str">
        <f t="shared" si="17"/>
        <v>Mountain Fox</v>
      </c>
      <c r="H45" s="58">
        <f t="shared" si="18"/>
        <v>0</v>
      </c>
      <c r="I45" s="58">
        <f t="shared" si="19"/>
        <v>0</v>
      </c>
      <c r="K45" s="58" t="str">
        <f t="shared" si="28"/>
        <v>Gryphon</v>
      </c>
      <c r="L45" s="244">
        <f t="shared" si="29"/>
        <v>0</v>
      </c>
      <c r="M45" s="244">
        <f t="shared" si="30"/>
        <v>0</v>
      </c>
      <c r="O45" s="58" t="str">
        <f t="shared" si="31"/>
        <v>King Cobra</v>
      </c>
      <c r="P45" s="244">
        <f t="shared" si="32"/>
        <v>0</v>
      </c>
      <c r="Q45" s="244">
        <f t="shared" si="32"/>
        <v>0</v>
      </c>
    </row>
    <row r="46" spans="1:17" x14ac:dyDescent="0.2">
      <c r="A46" s="58" t="s">
        <v>397</v>
      </c>
      <c r="B46" s="31" t="s">
        <v>373</v>
      </c>
      <c r="C46" s="247"/>
      <c r="D46" s="31">
        <f t="shared" si="0"/>
        <v>0</v>
      </c>
      <c r="E46" s="58" t="s">
        <v>390</v>
      </c>
      <c r="G46" s="58" t="str">
        <f t="shared" si="17"/>
        <v>Mouse</v>
      </c>
      <c r="H46" s="58">
        <f t="shared" si="18"/>
        <v>0</v>
      </c>
      <c r="I46" s="58">
        <f t="shared" si="19"/>
        <v>0</v>
      </c>
      <c r="K46" s="58" t="str">
        <f t="shared" si="28"/>
        <v>Harpy</v>
      </c>
      <c r="L46" s="244">
        <f t="shared" si="29"/>
        <v>0</v>
      </c>
      <c r="M46" s="244">
        <f t="shared" si="30"/>
        <v>0</v>
      </c>
      <c r="O46" s="58" t="str">
        <f t="shared" si="31"/>
        <v>Mamba</v>
      </c>
      <c r="P46" s="244">
        <f t="shared" si="32"/>
        <v>0</v>
      </c>
      <c r="Q46" s="244">
        <f t="shared" si="32"/>
        <v>0</v>
      </c>
    </row>
    <row r="47" spans="1:17" x14ac:dyDescent="0.2">
      <c r="A47" s="58" t="s">
        <v>398</v>
      </c>
      <c r="B47" s="31" t="s">
        <v>373</v>
      </c>
      <c r="C47" s="247"/>
      <c r="D47" s="31">
        <f t="shared" si="0"/>
        <v>0</v>
      </c>
      <c r="E47" s="58" t="s">
        <v>390</v>
      </c>
      <c r="G47" s="58" t="str">
        <f t="shared" si="17"/>
        <v>Ox</v>
      </c>
      <c r="H47" s="58">
        <f t="shared" si="18"/>
        <v>0</v>
      </c>
      <c r="I47" s="58">
        <f t="shared" si="19"/>
        <v>0</v>
      </c>
      <c r="K47" s="58" t="str">
        <f t="shared" si="28"/>
        <v>Hippogriff</v>
      </c>
      <c r="L47" s="244">
        <f t="shared" si="29"/>
        <v>0</v>
      </c>
      <c r="M47" s="244">
        <f t="shared" si="30"/>
        <v>0</v>
      </c>
      <c r="O47" s="58" t="str">
        <f t="shared" si="31"/>
        <v>Python</v>
      </c>
      <c r="P47" s="244">
        <f t="shared" si="32"/>
        <v>0</v>
      </c>
      <c r="Q47" s="244">
        <f t="shared" si="32"/>
        <v>0</v>
      </c>
    </row>
    <row r="48" spans="1:17" x14ac:dyDescent="0.2">
      <c r="A48" s="58" t="s">
        <v>399</v>
      </c>
      <c r="B48" s="31" t="s">
        <v>373</v>
      </c>
      <c r="C48" s="247"/>
      <c r="D48" s="31">
        <f t="shared" si="0"/>
        <v>0</v>
      </c>
      <c r="E48" s="58" t="s">
        <v>390</v>
      </c>
      <c r="G48" s="58" t="str">
        <f t="shared" si="17"/>
        <v>Pig</v>
      </c>
      <c r="H48" s="58">
        <f t="shared" si="18"/>
        <v>0</v>
      </c>
      <c r="I48" s="58">
        <f t="shared" si="19"/>
        <v>0</v>
      </c>
      <c r="K48" s="58" t="str">
        <f t="shared" si="28"/>
        <v>Hydra</v>
      </c>
      <c r="L48" s="244">
        <f t="shared" si="29"/>
        <v>0</v>
      </c>
      <c r="M48" s="244">
        <f t="shared" si="30"/>
        <v>0</v>
      </c>
      <c r="O48" s="58" t="str">
        <f t="shared" si="31"/>
        <v>Rattle Snake</v>
      </c>
      <c r="P48" s="244">
        <f t="shared" si="32"/>
        <v>0</v>
      </c>
      <c r="Q48" s="244">
        <f t="shared" si="32"/>
        <v>0</v>
      </c>
    </row>
    <row r="49" spans="1:17" x14ac:dyDescent="0.2">
      <c r="A49" s="58" t="s">
        <v>400</v>
      </c>
      <c r="B49" s="31" t="s">
        <v>373</v>
      </c>
      <c r="C49" s="247"/>
      <c r="D49" s="31">
        <f t="shared" si="0"/>
        <v>0</v>
      </c>
      <c r="E49" s="58" t="s">
        <v>390</v>
      </c>
      <c r="G49" s="58" t="str">
        <f t="shared" si="17"/>
        <v>Praire Dog</v>
      </c>
      <c r="H49" s="58">
        <f t="shared" si="18"/>
        <v>0</v>
      </c>
      <c r="I49" s="58">
        <f t="shared" si="19"/>
        <v>0</v>
      </c>
      <c r="K49" s="58" t="str">
        <f t="shared" si="28"/>
        <v>Kraken</v>
      </c>
      <c r="L49" s="244">
        <f t="shared" si="29"/>
        <v>0</v>
      </c>
      <c r="M49" s="244">
        <f t="shared" si="30"/>
        <v>0</v>
      </c>
      <c r="O49" s="243" t="str">
        <f>E201</f>
        <v>Trees/Plants</v>
      </c>
      <c r="P49" s="244"/>
      <c r="Q49" s="244"/>
    </row>
    <row r="50" spans="1:17" x14ac:dyDescent="0.2">
      <c r="A50" s="58" t="s">
        <v>401</v>
      </c>
      <c r="B50" s="31" t="s">
        <v>373</v>
      </c>
      <c r="C50" s="247"/>
      <c r="D50" s="31">
        <f t="shared" si="0"/>
        <v>0</v>
      </c>
      <c r="E50" s="58" t="s">
        <v>390</v>
      </c>
      <c r="G50" s="58" t="str">
        <f t="shared" si="17"/>
        <v>Rabbit</v>
      </c>
      <c r="H50" s="58">
        <f t="shared" si="18"/>
        <v>0</v>
      </c>
      <c r="I50" s="58">
        <f t="shared" si="19"/>
        <v>0</v>
      </c>
      <c r="K50" s="58" t="str">
        <f t="shared" si="28"/>
        <v>Manticore</v>
      </c>
      <c r="L50" s="244">
        <f t="shared" si="29"/>
        <v>0</v>
      </c>
      <c r="M50" s="244">
        <f t="shared" si="30"/>
        <v>0</v>
      </c>
      <c r="O50" s="58" t="str">
        <f t="shared" ref="O50:O62" si="33">A201</f>
        <v>Ash</v>
      </c>
      <c r="P50" s="244">
        <f t="shared" ref="P50:P62" si="34">C201</f>
        <v>0</v>
      </c>
      <c r="Q50" s="244">
        <f t="shared" ref="Q50:Q62" si="35">D201</f>
        <v>0</v>
      </c>
    </row>
    <row r="51" spans="1:17" x14ac:dyDescent="0.2">
      <c r="A51" s="58" t="s">
        <v>402</v>
      </c>
      <c r="B51" s="31" t="s">
        <v>373</v>
      </c>
      <c r="C51" s="247"/>
      <c r="D51" s="31">
        <f t="shared" si="0"/>
        <v>0</v>
      </c>
      <c r="E51" s="58" t="s">
        <v>390</v>
      </c>
      <c r="G51" s="58" t="str">
        <f t="shared" si="17"/>
        <v>Raccoon</v>
      </c>
      <c r="H51" s="58">
        <f t="shared" si="18"/>
        <v>0</v>
      </c>
      <c r="I51" s="58">
        <f t="shared" si="19"/>
        <v>0</v>
      </c>
      <c r="K51" s="58" t="str">
        <f t="shared" si="28"/>
        <v>Minotaur</v>
      </c>
      <c r="L51" s="244">
        <f t="shared" si="29"/>
        <v>0</v>
      </c>
      <c r="M51" s="244">
        <f t="shared" si="30"/>
        <v>0</v>
      </c>
      <c r="O51" s="58" t="str">
        <f t="shared" si="33"/>
        <v>Beech</v>
      </c>
      <c r="P51" s="244">
        <f t="shared" si="34"/>
        <v>0</v>
      </c>
      <c r="Q51" s="244">
        <f t="shared" si="35"/>
        <v>0</v>
      </c>
    </row>
    <row r="52" spans="1:17" x14ac:dyDescent="0.2">
      <c r="A52" s="58" t="s">
        <v>403</v>
      </c>
      <c r="B52" s="31" t="s">
        <v>373</v>
      </c>
      <c r="C52" s="247"/>
      <c r="D52" s="31">
        <f t="shared" si="0"/>
        <v>0</v>
      </c>
      <c r="E52" s="58" t="s">
        <v>390</v>
      </c>
      <c r="G52" s="58" t="str">
        <f t="shared" si="17"/>
        <v>Rat</v>
      </c>
      <c r="H52" s="58">
        <f t="shared" si="18"/>
        <v>0</v>
      </c>
      <c r="I52" s="58">
        <f t="shared" si="19"/>
        <v>0</v>
      </c>
      <c r="K52" s="58" t="str">
        <f t="shared" si="28"/>
        <v>Naga</v>
      </c>
      <c r="L52" s="244">
        <f t="shared" si="29"/>
        <v>0</v>
      </c>
      <c r="M52" s="244">
        <f t="shared" si="30"/>
        <v>0</v>
      </c>
      <c r="O52" s="58" t="str">
        <f t="shared" si="33"/>
        <v>Cactus</v>
      </c>
      <c r="P52" s="244">
        <f t="shared" si="34"/>
        <v>0</v>
      </c>
      <c r="Q52" s="244">
        <f t="shared" si="35"/>
        <v>0</v>
      </c>
    </row>
    <row r="53" spans="1:17" x14ac:dyDescent="0.2">
      <c r="A53" s="58" t="s">
        <v>404</v>
      </c>
      <c r="B53" s="31" t="s">
        <v>373</v>
      </c>
      <c r="C53" s="247"/>
      <c r="D53" s="31">
        <f t="shared" si="0"/>
        <v>0</v>
      </c>
      <c r="E53" s="58" t="s">
        <v>390</v>
      </c>
      <c r="G53" s="58" t="str">
        <f t="shared" si="17"/>
        <v>Sabre-tooth Tiger</v>
      </c>
      <c r="H53" s="58">
        <f t="shared" si="18"/>
        <v>0</v>
      </c>
      <c r="I53" s="58">
        <f t="shared" si="19"/>
        <v>0</v>
      </c>
      <c r="K53" s="58" t="str">
        <f t="shared" si="28"/>
        <v>Nixie</v>
      </c>
      <c r="L53" s="244">
        <f t="shared" si="29"/>
        <v>0</v>
      </c>
      <c r="M53" s="244">
        <f t="shared" si="30"/>
        <v>0</v>
      </c>
      <c r="O53" s="58" t="str">
        <f t="shared" si="33"/>
        <v>Date Tree</v>
      </c>
      <c r="P53" s="244">
        <f t="shared" si="34"/>
        <v>0</v>
      </c>
      <c r="Q53" s="244">
        <f t="shared" si="35"/>
        <v>0</v>
      </c>
    </row>
    <row r="54" spans="1:17" x14ac:dyDescent="0.2">
      <c r="A54" s="58" t="s">
        <v>405</v>
      </c>
      <c r="B54" s="31" t="s">
        <v>373</v>
      </c>
      <c r="C54" s="247"/>
      <c r="D54" s="31">
        <f t="shared" si="0"/>
        <v>0</v>
      </c>
      <c r="E54" s="58" t="s">
        <v>390</v>
      </c>
      <c r="G54" s="58" t="str">
        <f t="shared" si="17"/>
        <v>Scorpion</v>
      </c>
      <c r="H54" s="58">
        <f t="shared" si="18"/>
        <v>0</v>
      </c>
      <c r="I54" s="58">
        <f t="shared" si="19"/>
        <v>0</v>
      </c>
      <c r="K54" s="58" t="str">
        <f t="shared" si="28"/>
        <v>Nymph</v>
      </c>
      <c r="L54" s="244">
        <f t="shared" si="29"/>
        <v>0</v>
      </c>
      <c r="M54" s="244">
        <f t="shared" si="30"/>
        <v>0</v>
      </c>
      <c r="O54" s="58" t="str">
        <f t="shared" si="33"/>
        <v>Elm</v>
      </c>
      <c r="P54" s="244">
        <f t="shared" si="34"/>
        <v>0</v>
      </c>
      <c r="Q54" s="244">
        <f t="shared" si="35"/>
        <v>0</v>
      </c>
    </row>
    <row r="55" spans="1:17" x14ac:dyDescent="0.2">
      <c r="A55" s="58" t="s">
        <v>406</v>
      </c>
      <c r="B55" s="31" t="s">
        <v>373</v>
      </c>
      <c r="C55" s="247"/>
      <c r="D55" s="31">
        <f t="shared" si="0"/>
        <v>0</v>
      </c>
      <c r="E55" s="58" t="s">
        <v>390</v>
      </c>
      <c r="G55" s="58" t="str">
        <f t="shared" si="17"/>
        <v>Sheep</v>
      </c>
      <c r="H55" s="58">
        <f t="shared" si="18"/>
        <v>0</v>
      </c>
      <c r="I55" s="58">
        <f t="shared" si="19"/>
        <v>0</v>
      </c>
      <c r="K55" s="58" t="str">
        <f t="shared" si="28"/>
        <v>Pegasus</v>
      </c>
      <c r="L55" s="244">
        <f t="shared" si="29"/>
        <v>0</v>
      </c>
      <c r="M55" s="244">
        <f t="shared" si="30"/>
        <v>0</v>
      </c>
      <c r="O55" s="58" t="str">
        <f t="shared" si="33"/>
        <v>Grains</v>
      </c>
      <c r="P55" s="244">
        <f t="shared" si="34"/>
        <v>0</v>
      </c>
      <c r="Q55" s="244">
        <f t="shared" si="35"/>
        <v>0</v>
      </c>
    </row>
    <row r="56" spans="1:17" x14ac:dyDescent="0.2">
      <c r="A56" s="58" t="s">
        <v>407</v>
      </c>
      <c r="B56" s="31" t="s">
        <v>373</v>
      </c>
      <c r="C56" s="247"/>
      <c r="D56" s="31">
        <f t="shared" si="0"/>
        <v>0</v>
      </c>
      <c r="E56" s="58" t="s">
        <v>390</v>
      </c>
      <c r="G56" s="58" t="str">
        <f t="shared" si="17"/>
        <v>Tortoise</v>
      </c>
      <c r="H56" s="58">
        <f t="shared" si="18"/>
        <v>0</v>
      </c>
      <c r="I56" s="58">
        <f t="shared" si="19"/>
        <v>0</v>
      </c>
      <c r="K56" s="58" t="str">
        <f t="shared" si="28"/>
        <v>Salamander</v>
      </c>
      <c r="L56" s="244">
        <f t="shared" si="29"/>
        <v>0</v>
      </c>
      <c r="M56" s="244">
        <f t="shared" si="30"/>
        <v>0</v>
      </c>
      <c r="O56" s="58" t="str">
        <f t="shared" si="33"/>
        <v>Grass</v>
      </c>
      <c r="P56" s="244">
        <f t="shared" si="34"/>
        <v>0</v>
      </c>
      <c r="Q56" s="244">
        <f t="shared" si="35"/>
        <v>0</v>
      </c>
    </row>
    <row r="57" spans="1:17" x14ac:dyDescent="0.2">
      <c r="A57" s="58" t="s">
        <v>408</v>
      </c>
      <c r="B57" s="31" t="s">
        <v>373</v>
      </c>
      <c r="C57" s="247"/>
      <c r="D57" s="31">
        <f t="shared" si="0"/>
        <v>0</v>
      </c>
      <c r="E57" s="58" t="s">
        <v>390</v>
      </c>
      <c r="G57" s="58" t="str">
        <f t="shared" si="17"/>
        <v>Weasel</v>
      </c>
      <c r="H57" s="58">
        <f t="shared" si="18"/>
        <v>0</v>
      </c>
      <c r="I57" s="58">
        <f t="shared" si="19"/>
        <v>0</v>
      </c>
      <c r="K57" s="58" t="str">
        <f t="shared" si="28"/>
        <v>Satyr</v>
      </c>
      <c r="L57" s="244">
        <f t="shared" si="29"/>
        <v>0</v>
      </c>
      <c r="M57" s="244">
        <f t="shared" si="30"/>
        <v>0</v>
      </c>
      <c r="O57" s="58" t="str">
        <f t="shared" si="33"/>
        <v>Mistletoe</v>
      </c>
      <c r="P57" s="244">
        <f t="shared" si="34"/>
        <v>0</v>
      </c>
      <c r="Q57" s="244">
        <f t="shared" si="35"/>
        <v>0</v>
      </c>
    </row>
    <row r="58" spans="1:17" x14ac:dyDescent="0.2">
      <c r="A58" s="58" t="s">
        <v>409</v>
      </c>
      <c r="B58" s="31" t="s">
        <v>373</v>
      </c>
      <c r="C58" s="247"/>
      <c r="D58" s="31">
        <f t="shared" si="0"/>
        <v>0</v>
      </c>
      <c r="E58" s="58" t="s">
        <v>390</v>
      </c>
      <c r="G58" s="58" t="str">
        <f t="shared" si="17"/>
        <v>Wild Cat</v>
      </c>
      <c r="H58" s="58">
        <f t="shared" si="18"/>
        <v>0</v>
      </c>
      <c r="I58" s="58">
        <f t="shared" si="19"/>
        <v>0</v>
      </c>
      <c r="K58" s="58" t="str">
        <f t="shared" si="28"/>
        <v>Spitting Naja</v>
      </c>
      <c r="L58" s="244">
        <f t="shared" si="29"/>
        <v>0</v>
      </c>
      <c r="M58" s="244">
        <f t="shared" si="30"/>
        <v>0</v>
      </c>
      <c r="O58" s="58" t="str">
        <f t="shared" si="33"/>
        <v>Oak</v>
      </c>
      <c r="P58" s="244">
        <f t="shared" si="34"/>
        <v>0</v>
      </c>
      <c r="Q58" s="244">
        <f t="shared" si="35"/>
        <v>0</v>
      </c>
    </row>
    <row r="59" spans="1:17" x14ac:dyDescent="0.2">
      <c r="A59" s="58" t="s">
        <v>410</v>
      </c>
      <c r="B59" s="31" t="s">
        <v>373</v>
      </c>
      <c r="C59" s="247"/>
      <c r="D59" s="31">
        <f t="shared" si="0"/>
        <v>0</v>
      </c>
      <c r="E59" s="58" t="s">
        <v>390</v>
      </c>
      <c r="G59" s="58" t="str">
        <f t="shared" si="17"/>
        <v>Wolf</v>
      </c>
      <c r="H59" s="58">
        <f t="shared" si="18"/>
        <v>0</v>
      </c>
      <c r="I59" s="58">
        <f t="shared" si="19"/>
        <v>0</v>
      </c>
      <c r="K59" s="58" t="str">
        <f t="shared" si="28"/>
        <v>Unicorn</v>
      </c>
      <c r="L59" s="244">
        <f t="shared" si="29"/>
        <v>0</v>
      </c>
      <c r="M59" s="244">
        <f t="shared" si="30"/>
        <v>0</v>
      </c>
      <c r="O59" s="58" t="str">
        <f t="shared" si="33"/>
        <v>Olive Tree</v>
      </c>
      <c r="P59" s="244">
        <f t="shared" si="34"/>
        <v>0</v>
      </c>
      <c r="Q59" s="244">
        <f t="shared" si="35"/>
        <v>0</v>
      </c>
    </row>
    <row r="60" spans="1:17" x14ac:dyDescent="0.2">
      <c r="A60" s="58" t="s">
        <v>411</v>
      </c>
      <c r="B60" s="31" t="s">
        <v>373</v>
      </c>
      <c r="C60" s="247"/>
      <c r="D60" s="31">
        <f t="shared" si="0"/>
        <v>0</v>
      </c>
      <c r="E60" s="58" t="s">
        <v>390</v>
      </c>
      <c r="G60" s="58" t="str">
        <f t="shared" si="17"/>
        <v>Zebra</v>
      </c>
      <c r="H60" s="58">
        <f t="shared" si="18"/>
        <v>0</v>
      </c>
      <c r="I60" s="58">
        <f t="shared" si="19"/>
        <v>0</v>
      </c>
      <c r="K60" s="58" t="str">
        <f t="shared" si="28"/>
        <v>Wyvern</v>
      </c>
      <c r="L60" s="244">
        <f t="shared" si="29"/>
        <v>0</v>
      </c>
      <c r="M60" s="244">
        <f t="shared" si="30"/>
        <v>0</v>
      </c>
      <c r="O60" s="58" t="str">
        <f t="shared" si="33"/>
        <v>Pine</v>
      </c>
      <c r="P60" s="244">
        <f t="shared" si="34"/>
        <v>0</v>
      </c>
      <c r="Q60" s="244">
        <f t="shared" si="35"/>
        <v>0</v>
      </c>
    </row>
    <row r="61" spans="1:17" x14ac:dyDescent="0.2">
      <c r="A61" s="58" t="s">
        <v>412</v>
      </c>
      <c r="B61" s="31" t="s">
        <v>373</v>
      </c>
      <c r="C61" s="247"/>
      <c r="D61" s="31">
        <f t="shared" si="0"/>
        <v>0</v>
      </c>
      <c r="E61" s="58" t="s">
        <v>390</v>
      </c>
      <c r="G61" s="243" t="str">
        <f>E82</f>
        <v>Avians</v>
      </c>
      <c r="K61" s="243" t="str">
        <f>E147</f>
        <v>Humanoids</v>
      </c>
      <c r="L61" s="244"/>
      <c r="M61" s="244"/>
      <c r="O61" s="58" t="str">
        <f t="shared" si="33"/>
        <v>Willow</v>
      </c>
      <c r="P61" s="244">
        <f t="shared" si="34"/>
        <v>0</v>
      </c>
      <c r="Q61" s="244">
        <f t="shared" si="35"/>
        <v>0</v>
      </c>
    </row>
    <row r="62" spans="1:17" x14ac:dyDescent="0.2">
      <c r="A62" s="58" t="s">
        <v>413</v>
      </c>
      <c r="B62" s="31" t="s">
        <v>373</v>
      </c>
      <c r="C62" s="247"/>
      <c r="D62" s="31">
        <f t="shared" si="0"/>
        <v>0</v>
      </c>
      <c r="E62" s="58" t="s">
        <v>390</v>
      </c>
      <c r="G62" s="58" t="str">
        <f t="shared" ref="G62:G71" si="36">A82</f>
        <v>Albatross</v>
      </c>
      <c r="H62" s="244">
        <f t="shared" ref="H62:H71" si="37">C82</f>
        <v>0</v>
      </c>
      <c r="I62" s="244">
        <f t="shared" ref="I62:I71" si="38">D82</f>
        <v>0</v>
      </c>
      <c r="K62" s="58" t="str">
        <f t="shared" ref="K62:K71" si="39">A147</f>
        <v>Brownie</v>
      </c>
      <c r="L62" s="244">
        <f t="shared" ref="L62:L71" si="40">C147</f>
        <v>0</v>
      </c>
      <c r="M62" s="244">
        <f t="shared" ref="M62:M71" si="41">D147</f>
        <v>0</v>
      </c>
      <c r="O62" s="58" t="str">
        <f t="shared" si="33"/>
        <v>Yew</v>
      </c>
      <c r="P62" s="244">
        <f t="shared" si="34"/>
        <v>0</v>
      </c>
      <c r="Q62" s="244">
        <f t="shared" si="35"/>
        <v>0</v>
      </c>
    </row>
    <row r="63" spans="1:17" x14ac:dyDescent="0.2">
      <c r="A63" s="58" t="s">
        <v>414</v>
      </c>
      <c r="B63" s="31" t="s">
        <v>373</v>
      </c>
      <c r="C63" s="247"/>
      <c r="D63" s="31">
        <f t="shared" si="0"/>
        <v>0</v>
      </c>
      <c r="E63" s="58" t="s">
        <v>390</v>
      </c>
      <c r="G63" s="58" t="str">
        <f t="shared" si="36"/>
        <v>Bat</v>
      </c>
      <c r="H63" s="244">
        <f t="shared" si="37"/>
        <v>0</v>
      </c>
      <c r="I63" s="244">
        <f t="shared" si="38"/>
        <v>0</v>
      </c>
      <c r="K63" s="58" t="str">
        <f t="shared" si="39"/>
        <v>Drow</v>
      </c>
      <c r="L63" s="244">
        <f t="shared" si="40"/>
        <v>0</v>
      </c>
      <c r="M63" s="244">
        <f t="shared" si="41"/>
        <v>0</v>
      </c>
      <c r="O63" s="243" t="str">
        <f>E214</f>
        <v>Undead</v>
      </c>
      <c r="P63" s="244"/>
      <c r="Q63" s="244"/>
    </row>
    <row r="64" spans="1:17" x14ac:dyDescent="0.2">
      <c r="A64" s="58" t="s">
        <v>415</v>
      </c>
      <c r="B64" s="31" t="s">
        <v>373</v>
      </c>
      <c r="C64" s="247"/>
      <c r="D64" s="31">
        <f t="shared" si="0"/>
        <v>0</v>
      </c>
      <c r="E64" s="58" t="s">
        <v>390</v>
      </c>
      <c r="G64" s="58" t="str">
        <f t="shared" si="36"/>
        <v>Blackbird</v>
      </c>
      <c r="H64" s="244">
        <f t="shared" si="37"/>
        <v>0</v>
      </c>
      <c r="I64" s="244">
        <f t="shared" si="38"/>
        <v>0</v>
      </c>
      <c r="K64" s="58" t="str">
        <f t="shared" si="39"/>
        <v>Dwarf</v>
      </c>
      <c r="L64" s="244">
        <f t="shared" si="40"/>
        <v>0</v>
      </c>
      <c r="M64" s="244">
        <f t="shared" si="41"/>
        <v>0</v>
      </c>
      <c r="O64" s="58" t="str">
        <f t="shared" ref="O64:O69" si="42">A214</f>
        <v>Ghost</v>
      </c>
      <c r="P64" s="244">
        <f t="shared" ref="P64:Q69" si="43">C214</f>
        <v>0</v>
      </c>
      <c r="Q64" s="244">
        <f t="shared" si="43"/>
        <v>0</v>
      </c>
    </row>
    <row r="65" spans="1:17" x14ac:dyDescent="0.2">
      <c r="A65" s="58" t="s">
        <v>416</v>
      </c>
      <c r="B65" s="31" t="s">
        <v>373</v>
      </c>
      <c r="C65" s="247"/>
      <c r="D65" s="31">
        <f t="shared" si="0"/>
        <v>0</v>
      </c>
      <c r="E65" s="58" t="s">
        <v>390</v>
      </c>
      <c r="G65" s="58" t="str">
        <f t="shared" si="36"/>
        <v>Buzzard</v>
      </c>
      <c r="H65" s="244">
        <f t="shared" si="37"/>
        <v>0</v>
      </c>
      <c r="I65" s="244">
        <f t="shared" si="38"/>
        <v>0</v>
      </c>
      <c r="K65" s="58" t="str">
        <f t="shared" si="39"/>
        <v>Elf</v>
      </c>
      <c r="L65" s="244">
        <f t="shared" si="40"/>
        <v>0</v>
      </c>
      <c r="M65" s="244">
        <f t="shared" si="41"/>
        <v>0</v>
      </c>
      <c r="O65" s="58" t="str">
        <f t="shared" si="42"/>
        <v>Ghoul</v>
      </c>
      <c r="P65" s="244">
        <f t="shared" si="43"/>
        <v>0</v>
      </c>
      <c r="Q65" s="244">
        <f t="shared" si="43"/>
        <v>0</v>
      </c>
    </row>
    <row r="66" spans="1:17" x14ac:dyDescent="0.2">
      <c r="A66" s="58" t="s">
        <v>417</v>
      </c>
      <c r="B66" s="31" t="s">
        <v>373</v>
      </c>
      <c r="C66" s="247"/>
      <c r="D66" s="31">
        <f t="shared" ref="D66:D129" si="44">IF(B66="I",C66*2,IF(B66="G",C66,""))</f>
        <v>0</v>
      </c>
      <c r="E66" s="58" t="s">
        <v>390</v>
      </c>
      <c r="G66" s="58" t="str">
        <f t="shared" si="36"/>
        <v>Chicken</v>
      </c>
      <c r="H66" s="244">
        <f t="shared" si="37"/>
        <v>0</v>
      </c>
      <c r="I66" s="244">
        <f t="shared" si="38"/>
        <v>0</v>
      </c>
      <c r="K66" s="58" t="str">
        <f t="shared" si="39"/>
        <v>Erelheine</v>
      </c>
      <c r="L66" s="244">
        <f t="shared" si="40"/>
        <v>0</v>
      </c>
      <c r="M66" s="244">
        <f t="shared" si="41"/>
        <v>0</v>
      </c>
      <c r="O66" s="58" t="str">
        <f t="shared" si="42"/>
        <v>Mummy</v>
      </c>
      <c r="P66" s="244">
        <f t="shared" si="43"/>
        <v>0</v>
      </c>
      <c r="Q66" s="244">
        <f t="shared" si="43"/>
        <v>0</v>
      </c>
    </row>
    <row r="67" spans="1:17" x14ac:dyDescent="0.2">
      <c r="A67" s="58" t="s">
        <v>418</v>
      </c>
      <c r="B67" s="31" t="s">
        <v>373</v>
      </c>
      <c r="C67" s="247"/>
      <c r="D67" s="31">
        <f t="shared" si="44"/>
        <v>0</v>
      </c>
      <c r="E67" s="58" t="s">
        <v>390</v>
      </c>
      <c r="G67" s="58" t="str">
        <f t="shared" si="36"/>
        <v>Cormorant</v>
      </c>
      <c r="H67" s="244">
        <f t="shared" si="37"/>
        <v>0</v>
      </c>
      <c r="I67" s="244">
        <f t="shared" si="38"/>
        <v>0</v>
      </c>
      <c r="K67" s="58" t="str">
        <f t="shared" si="39"/>
        <v>Giant, Cloud</v>
      </c>
      <c r="L67" s="244">
        <f t="shared" si="40"/>
        <v>0</v>
      </c>
      <c r="M67" s="244">
        <f t="shared" si="41"/>
        <v>0</v>
      </c>
      <c r="O67" s="58" t="str">
        <f t="shared" si="42"/>
        <v>Night-Gaunt</v>
      </c>
      <c r="P67" s="244">
        <f t="shared" si="43"/>
        <v>0</v>
      </c>
      <c r="Q67" s="244">
        <f t="shared" si="43"/>
        <v>0</v>
      </c>
    </row>
    <row r="68" spans="1:17" x14ac:dyDescent="0.2">
      <c r="A68" s="58" t="s">
        <v>419</v>
      </c>
      <c r="B68" s="31" t="s">
        <v>373</v>
      </c>
      <c r="C68" s="247"/>
      <c r="D68" s="31">
        <f t="shared" si="44"/>
        <v>0</v>
      </c>
      <c r="E68" s="58" t="s">
        <v>390</v>
      </c>
      <c r="G68" s="58" t="str">
        <f t="shared" si="36"/>
        <v>Dove</v>
      </c>
      <c r="H68" s="244">
        <f t="shared" si="37"/>
        <v>0</v>
      </c>
      <c r="I68" s="244">
        <f t="shared" si="38"/>
        <v>0</v>
      </c>
      <c r="K68" s="58" t="str">
        <f t="shared" si="39"/>
        <v>Giant, Fire</v>
      </c>
      <c r="L68" s="244">
        <f t="shared" si="40"/>
        <v>0</v>
      </c>
      <c r="M68" s="244">
        <f t="shared" si="41"/>
        <v>0</v>
      </c>
      <c r="O68" s="58" t="str">
        <f t="shared" si="42"/>
        <v>Skeleton</v>
      </c>
      <c r="P68" s="244">
        <f t="shared" si="43"/>
        <v>0</v>
      </c>
      <c r="Q68" s="244">
        <f t="shared" si="43"/>
        <v>0</v>
      </c>
    </row>
    <row r="69" spans="1:17" x14ac:dyDescent="0.2">
      <c r="A69" s="58" t="s">
        <v>420</v>
      </c>
      <c r="B69" s="31" t="s">
        <v>373</v>
      </c>
      <c r="C69" s="247"/>
      <c r="D69" s="31">
        <f t="shared" si="44"/>
        <v>0</v>
      </c>
      <c r="E69" s="58" t="s">
        <v>390</v>
      </c>
      <c r="G69" s="58" t="str">
        <f t="shared" si="36"/>
        <v>Duck</v>
      </c>
      <c r="H69" s="244">
        <f t="shared" si="37"/>
        <v>0</v>
      </c>
      <c r="I69" s="244">
        <f t="shared" si="38"/>
        <v>0</v>
      </c>
      <c r="K69" s="58" t="str">
        <f t="shared" si="39"/>
        <v>Giant, Frost</v>
      </c>
      <c r="L69" s="244">
        <f t="shared" si="40"/>
        <v>0</v>
      </c>
      <c r="M69" s="244">
        <f t="shared" si="41"/>
        <v>0</v>
      </c>
      <c r="O69" s="58" t="str">
        <f t="shared" si="42"/>
        <v>Zombie</v>
      </c>
      <c r="P69" s="244">
        <f t="shared" si="43"/>
        <v>0</v>
      </c>
      <c r="Q69" s="244">
        <f t="shared" si="43"/>
        <v>0</v>
      </c>
    </row>
    <row r="70" spans="1:17" x14ac:dyDescent="0.2">
      <c r="A70" s="58" t="s">
        <v>421</v>
      </c>
      <c r="B70" s="31" t="s">
        <v>373</v>
      </c>
      <c r="C70" s="247"/>
      <c r="D70" s="31">
        <f t="shared" si="44"/>
        <v>0</v>
      </c>
      <c r="E70" s="58" t="s">
        <v>390</v>
      </c>
      <c r="G70" s="58" t="str">
        <f t="shared" si="36"/>
        <v>Eagle</v>
      </c>
      <c r="H70" s="244">
        <f t="shared" si="37"/>
        <v>0</v>
      </c>
      <c r="I70" s="244">
        <f t="shared" si="38"/>
        <v>0</v>
      </c>
      <c r="K70" s="58" t="str">
        <f t="shared" si="39"/>
        <v>Giant, Hill</v>
      </c>
      <c r="L70" s="244">
        <f t="shared" si="40"/>
        <v>0</v>
      </c>
      <c r="M70" s="244">
        <f t="shared" si="41"/>
        <v>0</v>
      </c>
    </row>
    <row r="71" spans="1:17" x14ac:dyDescent="0.2">
      <c r="A71" s="58" t="s">
        <v>422</v>
      </c>
      <c r="B71" s="31" t="s">
        <v>373</v>
      </c>
      <c r="C71" s="247"/>
      <c r="D71" s="31">
        <f t="shared" si="44"/>
        <v>0</v>
      </c>
      <c r="E71" s="58" t="s">
        <v>390</v>
      </c>
      <c r="G71" s="58" t="str">
        <f t="shared" si="36"/>
        <v>Falcon</v>
      </c>
      <c r="H71" s="244">
        <f t="shared" si="37"/>
        <v>0</v>
      </c>
      <c r="I71" s="244">
        <f t="shared" si="38"/>
        <v>0</v>
      </c>
      <c r="K71" s="58" t="str">
        <f t="shared" si="39"/>
        <v>Giant, Stone</v>
      </c>
      <c r="L71" s="244">
        <f t="shared" si="40"/>
        <v>0</v>
      </c>
      <c r="M71" s="244">
        <f t="shared" si="41"/>
        <v>0</v>
      </c>
    </row>
    <row r="72" spans="1:17" x14ac:dyDescent="0.2">
      <c r="A72" s="58" t="s">
        <v>423</v>
      </c>
      <c r="B72" s="31" t="s">
        <v>373</v>
      </c>
      <c r="C72" s="247"/>
      <c r="D72" s="31">
        <f t="shared" si="44"/>
        <v>0</v>
      </c>
      <c r="E72" s="58" t="s">
        <v>390</v>
      </c>
      <c r="L72" s="244"/>
      <c r="M72" s="244"/>
    </row>
    <row r="73" spans="1:17" x14ac:dyDescent="0.2">
      <c r="A73" s="58" t="s">
        <v>424</v>
      </c>
      <c r="B73" s="31" t="s">
        <v>373</v>
      </c>
      <c r="C73" s="247"/>
      <c r="D73" s="31">
        <f t="shared" si="44"/>
        <v>0</v>
      </c>
      <c r="E73" s="58" t="s">
        <v>390</v>
      </c>
      <c r="L73" s="244"/>
      <c r="M73" s="244"/>
    </row>
    <row r="74" spans="1:17" x14ac:dyDescent="0.2">
      <c r="A74" s="58" t="s">
        <v>425</v>
      </c>
      <c r="B74" s="31" t="s">
        <v>373</v>
      </c>
      <c r="C74" s="247"/>
      <c r="D74" s="31">
        <f t="shared" si="44"/>
        <v>0</v>
      </c>
      <c r="E74" s="58" t="s">
        <v>390</v>
      </c>
      <c r="L74" s="244"/>
      <c r="M74" s="244"/>
    </row>
    <row r="75" spans="1:17" x14ac:dyDescent="0.2">
      <c r="A75" s="58" t="s">
        <v>426</v>
      </c>
      <c r="B75" s="31" t="s">
        <v>373</v>
      </c>
      <c r="C75" s="247"/>
      <c r="D75" s="31">
        <f t="shared" si="44"/>
        <v>0</v>
      </c>
      <c r="E75" s="58" t="s">
        <v>390</v>
      </c>
      <c r="L75" s="244"/>
      <c r="M75" s="244"/>
    </row>
    <row r="76" spans="1:17" x14ac:dyDescent="0.2">
      <c r="A76" s="58" t="s">
        <v>427</v>
      </c>
      <c r="B76" s="31" t="s">
        <v>373</v>
      </c>
      <c r="C76" s="247"/>
      <c r="D76" s="31">
        <f t="shared" si="44"/>
        <v>0</v>
      </c>
      <c r="E76" s="58" t="s">
        <v>390</v>
      </c>
      <c r="L76" s="244"/>
      <c r="M76" s="244"/>
    </row>
    <row r="77" spans="1:17" x14ac:dyDescent="0.2">
      <c r="A77" s="58" t="s">
        <v>428</v>
      </c>
      <c r="B77" s="31" t="s">
        <v>373</v>
      </c>
      <c r="C77" s="247"/>
      <c r="D77" s="31">
        <f t="shared" si="44"/>
        <v>0</v>
      </c>
      <c r="E77" s="58" t="s">
        <v>390</v>
      </c>
      <c r="L77" s="244"/>
      <c r="M77" s="244"/>
    </row>
    <row r="78" spans="1:17" x14ac:dyDescent="0.2">
      <c r="A78" s="58" t="s">
        <v>429</v>
      </c>
      <c r="B78" s="31" t="s">
        <v>373</v>
      </c>
      <c r="C78" s="247"/>
      <c r="D78" s="31">
        <f t="shared" si="44"/>
        <v>0</v>
      </c>
      <c r="E78" s="58" t="s">
        <v>390</v>
      </c>
      <c r="L78" s="244"/>
      <c r="M78" s="244"/>
    </row>
    <row r="79" spans="1:17" x14ac:dyDescent="0.2">
      <c r="A79" s="58" t="s">
        <v>430</v>
      </c>
      <c r="B79" s="31" t="s">
        <v>373</v>
      </c>
      <c r="C79" s="247"/>
      <c r="D79" s="31">
        <f t="shared" si="44"/>
        <v>0</v>
      </c>
      <c r="E79" s="58" t="s">
        <v>390</v>
      </c>
      <c r="L79" s="244"/>
      <c r="M79" s="244"/>
    </row>
    <row r="80" spans="1:17" x14ac:dyDescent="0.2">
      <c r="A80" s="58" t="s">
        <v>431</v>
      </c>
      <c r="B80" s="31" t="s">
        <v>373</v>
      </c>
      <c r="C80" s="247"/>
      <c r="D80" s="31">
        <f t="shared" si="44"/>
        <v>0</v>
      </c>
      <c r="E80" s="58" t="s">
        <v>390</v>
      </c>
      <c r="L80" s="244"/>
      <c r="M80" s="244"/>
    </row>
    <row r="81" spans="1:13" x14ac:dyDescent="0.2">
      <c r="A81" s="58" t="s">
        <v>432</v>
      </c>
      <c r="B81" s="31" t="s">
        <v>373</v>
      </c>
      <c r="C81" s="247"/>
      <c r="D81" s="31">
        <f t="shared" si="44"/>
        <v>0</v>
      </c>
      <c r="E81" s="58" t="s">
        <v>390</v>
      </c>
      <c r="L81" s="244"/>
      <c r="M81" s="244"/>
    </row>
    <row r="82" spans="1:13" x14ac:dyDescent="0.2">
      <c r="A82" s="58" t="s">
        <v>433</v>
      </c>
      <c r="B82" s="31" t="s">
        <v>373</v>
      </c>
      <c r="C82" s="247"/>
      <c r="D82" s="31">
        <f t="shared" si="44"/>
        <v>0</v>
      </c>
      <c r="E82" s="58" t="s">
        <v>434</v>
      </c>
      <c r="L82" s="244"/>
      <c r="M82" s="244"/>
    </row>
    <row r="83" spans="1:13" x14ac:dyDescent="0.2">
      <c r="A83" s="58" t="s">
        <v>435</v>
      </c>
      <c r="B83" s="31" t="s">
        <v>373</v>
      </c>
      <c r="C83" s="247"/>
      <c r="D83" s="31">
        <f t="shared" si="44"/>
        <v>0</v>
      </c>
      <c r="E83" s="58" t="s">
        <v>434</v>
      </c>
      <c r="L83" s="244"/>
      <c r="M83" s="244"/>
    </row>
    <row r="84" spans="1:13" x14ac:dyDescent="0.2">
      <c r="A84" s="58" t="s">
        <v>436</v>
      </c>
      <c r="B84" s="31" t="s">
        <v>373</v>
      </c>
      <c r="C84" s="247"/>
      <c r="D84" s="31">
        <f t="shared" si="44"/>
        <v>0</v>
      </c>
      <c r="E84" s="58" t="s">
        <v>434</v>
      </c>
      <c r="L84" s="244"/>
      <c r="M84" s="244"/>
    </row>
    <row r="85" spans="1:13" x14ac:dyDescent="0.2">
      <c r="A85" s="58" t="s">
        <v>437</v>
      </c>
      <c r="B85" s="31" t="s">
        <v>373</v>
      </c>
      <c r="C85" s="247"/>
      <c r="D85" s="31">
        <f t="shared" si="44"/>
        <v>0</v>
      </c>
      <c r="E85" s="58" t="s">
        <v>434</v>
      </c>
    </row>
    <row r="86" spans="1:13" x14ac:dyDescent="0.2">
      <c r="A86" s="58" t="s">
        <v>438</v>
      </c>
      <c r="B86" s="31" t="s">
        <v>373</v>
      </c>
      <c r="C86" s="247"/>
      <c r="D86" s="31">
        <f t="shared" si="44"/>
        <v>0</v>
      </c>
      <c r="E86" s="58" t="s">
        <v>434</v>
      </c>
    </row>
    <row r="87" spans="1:13" x14ac:dyDescent="0.2">
      <c r="A87" s="58" t="s">
        <v>439</v>
      </c>
      <c r="B87" s="31" t="s">
        <v>373</v>
      </c>
      <c r="C87" s="247"/>
      <c r="D87" s="31">
        <f t="shared" si="44"/>
        <v>0</v>
      </c>
      <c r="E87" s="58" t="s">
        <v>434</v>
      </c>
    </row>
    <row r="88" spans="1:13" x14ac:dyDescent="0.2">
      <c r="A88" s="58" t="s">
        <v>440</v>
      </c>
      <c r="B88" s="31" t="s">
        <v>373</v>
      </c>
      <c r="C88" s="247"/>
      <c r="D88" s="31">
        <f t="shared" si="44"/>
        <v>0</v>
      </c>
      <c r="E88" s="58" t="s">
        <v>434</v>
      </c>
    </row>
    <row r="89" spans="1:13" x14ac:dyDescent="0.2">
      <c r="A89" s="58" t="s">
        <v>441</v>
      </c>
      <c r="B89" s="31" t="s">
        <v>373</v>
      </c>
      <c r="C89" s="247"/>
      <c r="D89" s="31">
        <f t="shared" si="44"/>
        <v>0</v>
      </c>
      <c r="E89" s="58" t="s">
        <v>434</v>
      </c>
    </row>
    <row r="90" spans="1:13" x14ac:dyDescent="0.2">
      <c r="A90" s="58" t="s">
        <v>442</v>
      </c>
      <c r="B90" s="31" t="s">
        <v>373</v>
      </c>
      <c r="C90" s="247"/>
      <c r="D90" s="31">
        <f t="shared" si="44"/>
        <v>0</v>
      </c>
      <c r="E90" s="58" t="s">
        <v>434</v>
      </c>
    </row>
    <row r="91" spans="1:13" x14ac:dyDescent="0.2">
      <c r="A91" s="58" t="s">
        <v>443</v>
      </c>
      <c r="B91" s="31" t="s">
        <v>373</v>
      </c>
      <c r="C91" s="247"/>
      <c r="D91" s="31">
        <f t="shared" si="44"/>
        <v>0</v>
      </c>
      <c r="E91" s="58" t="s">
        <v>434</v>
      </c>
    </row>
    <row r="92" spans="1:13" x14ac:dyDescent="0.2">
      <c r="A92" s="58" t="s">
        <v>444</v>
      </c>
      <c r="B92" s="31" t="s">
        <v>373</v>
      </c>
      <c r="C92" s="247"/>
      <c r="D92" s="31">
        <f t="shared" si="44"/>
        <v>0</v>
      </c>
      <c r="E92" s="58" t="s">
        <v>434</v>
      </c>
    </row>
    <row r="93" spans="1:13" x14ac:dyDescent="0.2">
      <c r="A93" s="58" t="s">
        <v>445</v>
      </c>
      <c r="B93" s="31" t="s">
        <v>373</v>
      </c>
      <c r="C93" s="247"/>
      <c r="D93" s="31">
        <f t="shared" si="44"/>
        <v>0</v>
      </c>
      <c r="E93" s="58" t="s">
        <v>434</v>
      </c>
    </row>
    <row r="94" spans="1:13" x14ac:dyDescent="0.2">
      <c r="A94" s="58" t="s">
        <v>446</v>
      </c>
      <c r="B94" s="31" t="s">
        <v>373</v>
      </c>
      <c r="C94" s="247"/>
      <c r="D94" s="31">
        <f t="shared" si="44"/>
        <v>0</v>
      </c>
      <c r="E94" s="58" t="s">
        <v>434</v>
      </c>
    </row>
    <row r="95" spans="1:13" x14ac:dyDescent="0.2">
      <c r="A95" s="58" t="s">
        <v>447</v>
      </c>
      <c r="B95" s="31" t="s">
        <v>373</v>
      </c>
      <c r="C95" s="247"/>
      <c r="D95" s="31">
        <f t="shared" si="44"/>
        <v>0</v>
      </c>
      <c r="E95" s="58" t="s">
        <v>434</v>
      </c>
    </row>
    <row r="96" spans="1:13" x14ac:dyDescent="0.2">
      <c r="A96" s="58" t="s">
        <v>448</v>
      </c>
      <c r="B96" s="31" t="s">
        <v>373</v>
      </c>
      <c r="C96" s="247"/>
      <c r="D96" s="31">
        <f t="shared" si="44"/>
        <v>0</v>
      </c>
      <c r="E96" s="58" t="s">
        <v>434</v>
      </c>
    </row>
    <row r="97" spans="1:5" x14ac:dyDescent="0.2">
      <c r="A97" s="58" t="s">
        <v>449</v>
      </c>
      <c r="B97" s="31" t="s">
        <v>373</v>
      </c>
      <c r="C97" s="247"/>
      <c r="D97" s="31">
        <f t="shared" si="44"/>
        <v>0</v>
      </c>
      <c r="E97" s="58" t="s">
        <v>434</v>
      </c>
    </row>
    <row r="98" spans="1:5" x14ac:dyDescent="0.2">
      <c r="A98" s="58" t="s">
        <v>450</v>
      </c>
      <c r="B98" s="31" t="s">
        <v>373</v>
      </c>
      <c r="C98" s="247"/>
      <c r="D98" s="31">
        <f t="shared" si="44"/>
        <v>0</v>
      </c>
      <c r="E98" s="58" t="s">
        <v>434</v>
      </c>
    </row>
    <row r="99" spans="1:5" x14ac:dyDescent="0.2">
      <c r="A99" s="58" t="s">
        <v>451</v>
      </c>
      <c r="B99" s="31" t="s">
        <v>373</v>
      </c>
      <c r="C99" s="247"/>
      <c r="D99" s="31">
        <f t="shared" si="44"/>
        <v>0</v>
      </c>
      <c r="E99" s="58" t="s">
        <v>434</v>
      </c>
    </row>
    <row r="100" spans="1:5" x14ac:dyDescent="0.2">
      <c r="A100" s="58" t="s">
        <v>452</v>
      </c>
      <c r="B100" s="31" t="s">
        <v>373</v>
      </c>
      <c r="C100" s="247"/>
      <c r="D100" s="31">
        <f t="shared" si="44"/>
        <v>0</v>
      </c>
      <c r="E100" s="58" t="s">
        <v>434</v>
      </c>
    </row>
    <row r="101" spans="1:5" x14ac:dyDescent="0.2">
      <c r="A101" s="58" t="s">
        <v>453</v>
      </c>
      <c r="B101" s="31" t="s">
        <v>373</v>
      </c>
      <c r="C101" s="247"/>
      <c r="D101" s="31">
        <f t="shared" si="44"/>
        <v>0</v>
      </c>
      <c r="E101" s="58" t="s">
        <v>434</v>
      </c>
    </row>
    <row r="102" spans="1:5" x14ac:dyDescent="0.2">
      <c r="A102" s="58" t="s">
        <v>454</v>
      </c>
      <c r="B102" s="31" t="s">
        <v>373</v>
      </c>
      <c r="C102" s="247"/>
      <c r="D102" s="31">
        <f t="shared" si="44"/>
        <v>0</v>
      </c>
      <c r="E102" s="58" t="s">
        <v>434</v>
      </c>
    </row>
    <row r="103" spans="1:5" x14ac:dyDescent="0.2">
      <c r="A103" s="58" t="s">
        <v>455</v>
      </c>
      <c r="B103" s="31" t="s">
        <v>373</v>
      </c>
      <c r="C103" s="247"/>
      <c r="D103" s="31">
        <f t="shared" si="44"/>
        <v>0</v>
      </c>
      <c r="E103" s="58" t="s">
        <v>434</v>
      </c>
    </row>
    <row r="104" spans="1:5" x14ac:dyDescent="0.2">
      <c r="A104" s="58" t="s">
        <v>456</v>
      </c>
      <c r="B104" s="31" t="s">
        <v>373</v>
      </c>
      <c r="C104" s="247"/>
      <c r="D104" s="31">
        <f t="shared" si="44"/>
        <v>0</v>
      </c>
      <c r="E104" s="58" t="s">
        <v>457</v>
      </c>
    </row>
    <row r="105" spans="1:5" x14ac:dyDescent="0.2">
      <c r="A105" s="58" t="s">
        <v>458</v>
      </c>
      <c r="B105" s="31" t="s">
        <v>373</v>
      </c>
      <c r="C105" s="247"/>
      <c r="D105" s="31">
        <f t="shared" si="44"/>
        <v>0</v>
      </c>
      <c r="E105" s="58" t="s">
        <v>457</v>
      </c>
    </row>
    <row r="106" spans="1:5" x14ac:dyDescent="0.2">
      <c r="A106" s="58" t="s">
        <v>459</v>
      </c>
      <c r="B106" s="31" t="s">
        <v>373</v>
      </c>
      <c r="C106" s="247"/>
      <c r="D106" s="31">
        <f t="shared" si="44"/>
        <v>0</v>
      </c>
      <c r="E106" s="58" t="s">
        <v>457</v>
      </c>
    </row>
    <row r="107" spans="1:5" x14ac:dyDescent="0.2">
      <c r="A107" s="58" t="s">
        <v>460</v>
      </c>
      <c r="B107" s="31" t="s">
        <v>373</v>
      </c>
      <c r="C107" s="247"/>
      <c r="D107" s="31">
        <f t="shared" si="44"/>
        <v>0</v>
      </c>
      <c r="E107" s="58" t="s">
        <v>457</v>
      </c>
    </row>
    <row r="108" spans="1:5" x14ac:dyDescent="0.2">
      <c r="A108" s="58" t="s">
        <v>461</v>
      </c>
      <c r="B108" s="31" t="s">
        <v>373</v>
      </c>
      <c r="C108" s="247"/>
      <c r="D108" s="31">
        <f t="shared" si="44"/>
        <v>0</v>
      </c>
      <c r="E108" s="58" t="s">
        <v>457</v>
      </c>
    </row>
    <row r="109" spans="1:5" x14ac:dyDescent="0.2">
      <c r="A109" s="58" t="s">
        <v>462</v>
      </c>
      <c r="B109" s="31" t="s">
        <v>373</v>
      </c>
      <c r="C109" s="247"/>
      <c r="D109" s="31">
        <f t="shared" si="44"/>
        <v>0</v>
      </c>
      <c r="E109" s="58" t="s">
        <v>457</v>
      </c>
    </row>
    <row r="110" spans="1:5" x14ac:dyDescent="0.2">
      <c r="A110" s="58" t="s">
        <v>463</v>
      </c>
      <c r="B110" s="31" t="s">
        <v>373</v>
      </c>
      <c r="C110" s="247"/>
      <c r="D110" s="31">
        <f t="shared" si="44"/>
        <v>0</v>
      </c>
      <c r="E110" s="58" t="s">
        <v>457</v>
      </c>
    </row>
    <row r="111" spans="1:5" x14ac:dyDescent="0.2">
      <c r="A111" s="58" t="s">
        <v>464</v>
      </c>
      <c r="B111" s="31" t="s">
        <v>373</v>
      </c>
      <c r="C111" s="247"/>
      <c r="D111" s="31">
        <f t="shared" si="44"/>
        <v>0</v>
      </c>
      <c r="E111" s="58" t="s">
        <v>457</v>
      </c>
    </row>
    <row r="112" spans="1:5" x14ac:dyDescent="0.2">
      <c r="A112" s="58" t="s">
        <v>465</v>
      </c>
      <c r="B112" s="31" t="s">
        <v>373</v>
      </c>
      <c r="C112" s="247"/>
      <c r="D112" s="31">
        <f t="shared" si="44"/>
        <v>0</v>
      </c>
      <c r="E112" s="58" t="s">
        <v>457</v>
      </c>
    </row>
    <row r="113" spans="1:5" x14ac:dyDescent="0.2">
      <c r="A113" s="58" t="s">
        <v>466</v>
      </c>
      <c r="B113" s="31" t="s">
        <v>373</v>
      </c>
      <c r="C113" s="247"/>
      <c r="D113" s="31">
        <f t="shared" si="44"/>
        <v>0</v>
      </c>
      <c r="E113" s="58" t="s">
        <v>457</v>
      </c>
    </row>
    <row r="114" spans="1:5" x14ac:dyDescent="0.2">
      <c r="A114" s="58" t="s">
        <v>467</v>
      </c>
      <c r="B114" s="31" t="s">
        <v>373</v>
      </c>
      <c r="C114" s="247"/>
      <c r="D114" s="31">
        <f t="shared" si="44"/>
        <v>0</v>
      </c>
      <c r="E114" s="58" t="s">
        <v>457</v>
      </c>
    </row>
    <row r="115" spans="1:5" x14ac:dyDescent="0.2">
      <c r="A115" s="58" t="s">
        <v>468</v>
      </c>
      <c r="B115" s="31" t="s">
        <v>373</v>
      </c>
      <c r="C115" s="247"/>
      <c r="D115" s="31">
        <f t="shared" si="44"/>
        <v>0</v>
      </c>
      <c r="E115" s="58" t="s">
        <v>457</v>
      </c>
    </row>
    <row r="116" spans="1:5" x14ac:dyDescent="0.2">
      <c r="A116" s="58" t="s">
        <v>469</v>
      </c>
      <c r="B116" s="31" t="s">
        <v>373</v>
      </c>
      <c r="C116" s="247"/>
      <c r="D116" s="31">
        <f t="shared" si="44"/>
        <v>0</v>
      </c>
      <c r="E116" s="58" t="s">
        <v>470</v>
      </c>
    </row>
    <row r="117" spans="1:5" x14ac:dyDescent="0.2">
      <c r="A117" s="58" t="s">
        <v>471</v>
      </c>
      <c r="B117" s="31" t="s">
        <v>373</v>
      </c>
      <c r="C117" s="247"/>
      <c r="D117" s="31">
        <f t="shared" si="44"/>
        <v>0</v>
      </c>
      <c r="E117" s="58" t="s">
        <v>470</v>
      </c>
    </row>
    <row r="118" spans="1:5" x14ac:dyDescent="0.2">
      <c r="A118" s="58" t="s">
        <v>472</v>
      </c>
      <c r="B118" s="31" t="s">
        <v>373</v>
      </c>
      <c r="C118" s="247"/>
      <c r="D118" s="31">
        <f t="shared" si="44"/>
        <v>0</v>
      </c>
      <c r="E118" s="58" t="s">
        <v>470</v>
      </c>
    </row>
    <row r="119" spans="1:5" x14ac:dyDescent="0.2">
      <c r="A119" s="58" t="s">
        <v>473</v>
      </c>
      <c r="B119" s="31" t="s">
        <v>373</v>
      </c>
      <c r="C119" s="247"/>
      <c r="D119" s="31">
        <f t="shared" si="44"/>
        <v>0</v>
      </c>
      <c r="E119" s="58" t="s">
        <v>470</v>
      </c>
    </row>
    <row r="120" spans="1:5" x14ac:dyDescent="0.2">
      <c r="A120" s="58" t="s">
        <v>474</v>
      </c>
      <c r="B120" s="31" t="s">
        <v>373</v>
      </c>
      <c r="C120" s="247"/>
      <c r="D120" s="31">
        <f t="shared" si="44"/>
        <v>0</v>
      </c>
      <c r="E120" s="58" t="s">
        <v>475</v>
      </c>
    </row>
    <row r="121" spans="1:5" x14ac:dyDescent="0.2">
      <c r="A121" s="58" t="s">
        <v>476</v>
      </c>
      <c r="B121" s="31" t="s">
        <v>373</v>
      </c>
      <c r="C121" s="247"/>
      <c r="D121" s="31">
        <f t="shared" si="44"/>
        <v>0</v>
      </c>
      <c r="E121" s="58" t="s">
        <v>475</v>
      </c>
    </row>
    <row r="122" spans="1:5" x14ac:dyDescent="0.2">
      <c r="A122" s="58" t="s">
        <v>477</v>
      </c>
      <c r="B122" s="31" t="s">
        <v>373</v>
      </c>
      <c r="C122" s="247"/>
      <c r="D122" s="31">
        <f t="shared" si="44"/>
        <v>0</v>
      </c>
      <c r="E122" s="58" t="s">
        <v>475</v>
      </c>
    </row>
    <row r="123" spans="1:5" x14ac:dyDescent="0.2">
      <c r="A123" s="58" t="s">
        <v>478</v>
      </c>
      <c r="B123" s="31" t="s">
        <v>373</v>
      </c>
      <c r="C123" s="247"/>
      <c r="D123" s="31">
        <f t="shared" si="44"/>
        <v>0</v>
      </c>
      <c r="E123" s="58" t="s">
        <v>475</v>
      </c>
    </row>
    <row r="124" spans="1:5" x14ac:dyDescent="0.2">
      <c r="A124" s="58" t="s">
        <v>479</v>
      </c>
      <c r="B124" s="31" t="s">
        <v>373</v>
      </c>
      <c r="C124" s="247"/>
      <c r="D124" s="31">
        <f t="shared" si="44"/>
        <v>0</v>
      </c>
      <c r="E124" s="58" t="s">
        <v>475</v>
      </c>
    </row>
    <row r="125" spans="1:5" x14ac:dyDescent="0.2">
      <c r="A125" s="58" t="s">
        <v>480</v>
      </c>
      <c r="B125" s="31" t="s">
        <v>373</v>
      </c>
      <c r="C125" s="247"/>
      <c r="D125" s="31">
        <f t="shared" si="44"/>
        <v>0</v>
      </c>
      <c r="E125" s="58" t="s">
        <v>481</v>
      </c>
    </row>
    <row r="126" spans="1:5" x14ac:dyDescent="0.2">
      <c r="A126" s="58" t="s">
        <v>482</v>
      </c>
      <c r="B126" s="31" t="s">
        <v>373</v>
      </c>
      <c r="C126" s="247"/>
      <c r="D126" s="31">
        <f t="shared" si="44"/>
        <v>0</v>
      </c>
      <c r="E126" s="58" t="s">
        <v>481</v>
      </c>
    </row>
    <row r="127" spans="1:5" x14ac:dyDescent="0.2">
      <c r="A127" s="58" t="s">
        <v>483</v>
      </c>
      <c r="B127" s="31" t="s">
        <v>373</v>
      </c>
      <c r="C127" s="247"/>
      <c r="D127" s="31">
        <f t="shared" si="44"/>
        <v>0</v>
      </c>
      <c r="E127" s="58" t="s">
        <v>481</v>
      </c>
    </row>
    <row r="128" spans="1:5" x14ac:dyDescent="0.2">
      <c r="A128" s="58" t="s">
        <v>484</v>
      </c>
      <c r="B128" s="31" t="s">
        <v>373</v>
      </c>
      <c r="C128" s="247"/>
      <c r="D128" s="31">
        <f t="shared" si="44"/>
        <v>0</v>
      </c>
      <c r="E128" s="58" t="s">
        <v>481</v>
      </c>
    </row>
    <row r="129" spans="1:5" x14ac:dyDescent="0.2">
      <c r="A129" s="58" t="s">
        <v>485</v>
      </c>
      <c r="B129" s="31" t="s">
        <v>373</v>
      </c>
      <c r="C129" s="247"/>
      <c r="D129" s="31">
        <f t="shared" si="44"/>
        <v>0</v>
      </c>
      <c r="E129" s="58" t="s">
        <v>481</v>
      </c>
    </row>
    <row r="130" spans="1:5" x14ac:dyDescent="0.2">
      <c r="A130" s="58" t="s">
        <v>486</v>
      </c>
      <c r="B130" s="31" t="s">
        <v>373</v>
      </c>
      <c r="C130" s="247"/>
      <c r="D130" s="31">
        <f t="shared" ref="D130:D193" si="45">IF(B130="I",C130*2,IF(B130="G",C130,""))</f>
        <v>0</v>
      </c>
      <c r="E130" s="58" t="s">
        <v>481</v>
      </c>
    </row>
    <row r="131" spans="1:5" x14ac:dyDescent="0.2">
      <c r="A131" s="58" t="s">
        <v>487</v>
      </c>
      <c r="B131" s="31" t="s">
        <v>373</v>
      </c>
      <c r="C131" s="247"/>
      <c r="D131" s="31">
        <f t="shared" si="45"/>
        <v>0</v>
      </c>
      <c r="E131" s="58" t="s">
        <v>481</v>
      </c>
    </row>
    <row r="132" spans="1:5" x14ac:dyDescent="0.2">
      <c r="A132" s="58" t="s">
        <v>488</v>
      </c>
      <c r="B132" s="31" t="s">
        <v>373</v>
      </c>
      <c r="C132" s="247"/>
      <c r="D132" s="31">
        <f t="shared" si="45"/>
        <v>0</v>
      </c>
      <c r="E132" s="58" t="s">
        <v>481</v>
      </c>
    </row>
    <row r="133" spans="1:5" x14ac:dyDescent="0.2">
      <c r="A133" s="58" t="s">
        <v>489</v>
      </c>
      <c r="B133" s="31" t="s">
        <v>373</v>
      </c>
      <c r="C133" s="247"/>
      <c r="D133" s="31">
        <f t="shared" si="45"/>
        <v>0</v>
      </c>
      <c r="E133" s="58" t="s">
        <v>481</v>
      </c>
    </row>
    <row r="134" spans="1:5" x14ac:dyDescent="0.2">
      <c r="A134" s="58" t="s">
        <v>490</v>
      </c>
      <c r="B134" s="31" t="s">
        <v>373</v>
      </c>
      <c r="C134" s="247"/>
      <c r="D134" s="31">
        <f t="shared" si="45"/>
        <v>0</v>
      </c>
      <c r="E134" s="58" t="s">
        <v>481</v>
      </c>
    </row>
    <row r="135" spans="1:5" x14ac:dyDescent="0.2">
      <c r="A135" s="58" t="s">
        <v>491</v>
      </c>
      <c r="B135" s="31" t="s">
        <v>373</v>
      </c>
      <c r="C135" s="247"/>
      <c r="D135" s="31">
        <f t="shared" si="45"/>
        <v>0</v>
      </c>
      <c r="E135" s="58" t="s">
        <v>481</v>
      </c>
    </row>
    <row r="136" spans="1:5" x14ac:dyDescent="0.2">
      <c r="A136" s="58" t="s">
        <v>492</v>
      </c>
      <c r="B136" s="31" t="s">
        <v>373</v>
      </c>
      <c r="C136" s="247"/>
      <c r="D136" s="31">
        <f t="shared" si="45"/>
        <v>0</v>
      </c>
      <c r="E136" s="58" t="s">
        <v>481</v>
      </c>
    </row>
    <row r="137" spans="1:5" x14ac:dyDescent="0.2">
      <c r="A137" s="58" t="s">
        <v>493</v>
      </c>
      <c r="B137" s="31" t="s">
        <v>373</v>
      </c>
      <c r="C137" s="247"/>
      <c r="D137" s="31">
        <f t="shared" si="45"/>
        <v>0</v>
      </c>
      <c r="E137" s="58" t="s">
        <v>481</v>
      </c>
    </row>
    <row r="138" spans="1:5" x14ac:dyDescent="0.2">
      <c r="A138" s="58" t="s">
        <v>494</v>
      </c>
      <c r="B138" s="31" t="s">
        <v>373</v>
      </c>
      <c r="C138" s="247"/>
      <c r="D138" s="31">
        <f t="shared" si="45"/>
        <v>0</v>
      </c>
      <c r="E138" s="58" t="s">
        <v>481</v>
      </c>
    </row>
    <row r="139" spans="1:5" x14ac:dyDescent="0.2">
      <c r="A139" s="58" t="s">
        <v>495</v>
      </c>
      <c r="B139" s="31" t="s">
        <v>373</v>
      </c>
      <c r="C139" s="247"/>
      <c r="D139" s="31">
        <f t="shared" si="45"/>
        <v>0</v>
      </c>
      <c r="E139" s="58" t="s">
        <v>481</v>
      </c>
    </row>
    <row r="140" spans="1:5" x14ac:dyDescent="0.2">
      <c r="A140" s="58" t="s">
        <v>496</v>
      </c>
      <c r="B140" s="31" t="s">
        <v>373</v>
      </c>
      <c r="C140" s="247"/>
      <c r="D140" s="31">
        <f t="shared" si="45"/>
        <v>0</v>
      </c>
      <c r="E140" s="58" t="s">
        <v>481</v>
      </c>
    </row>
    <row r="141" spans="1:5" x14ac:dyDescent="0.2">
      <c r="A141" s="58" t="s">
        <v>497</v>
      </c>
      <c r="B141" s="31" t="s">
        <v>373</v>
      </c>
      <c r="C141" s="247"/>
      <c r="D141" s="31">
        <f t="shared" si="45"/>
        <v>0</v>
      </c>
      <c r="E141" s="58" t="s">
        <v>481</v>
      </c>
    </row>
    <row r="142" spans="1:5" x14ac:dyDescent="0.2">
      <c r="A142" s="58" t="s">
        <v>498</v>
      </c>
      <c r="B142" s="31" t="s">
        <v>373</v>
      </c>
      <c r="C142" s="247"/>
      <c r="D142" s="31">
        <f t="shared" si="45"/>
        <v>0</v>
      </c>
      <c r="E142" s="58" t="s">
        <v>481</v>
      </c>
    </row>
    <row r="143" spans="1:5" x14ac:dyDescent="0.2">
      <c r="A143" s="58" t="s">
        <v>499</v>
      </c>
      <c r="B143" s="31" t="s">
        <v>373</v>
      </c>
      <c r="C143" s="247"/>
      <c r="D143" s="31">
        <f t="shared" si="45"/>
        <v>0</v>
      </c>
      <c r="E143" s="58" t="s">
        <v>481</v>
      </c>
    </row>
    <row r="144" spans="1:5" x14ac:dyDescent="0.2">
      <c r="A144" s="58" t="s">
        <v>500</v>
      </c>
      <c r="B144" s="31" t="s">
        <v>373</v>
      </c>
      <c r="C144" s="247"/>
      <c r="D144" s="31">
        <f t="shared" si="45"/>
        <v>0</v>
      </c>
      <c r="E144" s="58" t="s">
        <v>481</v>
      </c>
    </row>
    <row r="145" spans="1:5" x14ac:dyDescent="0.2">
      <c r="A145" s="58" t="s">
        <v>501</v>
      </c>
      <c r="B145" s="31" t="s">
        <v>373</v>
      </c>
      <c r="C145" s="247"/>
      <c r="D145" s="31">
        <f t="shared" si="45"/>
        <v>0</v>
      </c>
      <c r="E145" s="58" t="s">
        <v>481</v>
      </c>
    </row>
    <row r="146" spans="1:5" x14ac:dyDescent="0.2">
      <c r="A146" s="58" t="s">
        <v>502</v>
      </c>
      <c r="B146" s="31" t="s">
        <v>373</v>
      </c>
      <c r="C146" s="247"/>
      <c r="D146" s="31">
        <f t="shared" si="45"/>
        <v>0</v>
      </c>
      <c r="E146" s="58" t="s">
        <v>481</v>
      </c>
    </row>
    <row r="147" spans="1:5" x14ac:dyDescent="0.2">
      <c r="A147" s="58" t="s">
        <v>503</v>
      </c>
      <c r="B147" s="31" t="s">
        <v>373</v>
      </c>
      <c r="C147" s="247"/>
      <c r="D147" s="31">
        <f t="shared" si="45"/>
        <v>0</v>
      </c>
      <c r="E147" s="58" t="s">
        <v>504</v>
      </c>
    </row>
    <row r="148" spans="1:5" x14ac:dyDescent="0.2">
      <c r="A148" s="58" t="s">
        <v>505</v>
      </c>
      <c r="B148" s="31" t="s">
        <v>373</v>
      </c>
      <c r="C148" s="247"/>
      <c r="D148" s="31">
        <f t="shared" si="45"/>
        <v>0</v>
      </c>
      <c r="E148" s="58" t="s">
        <v>504</v>
      </c>
    </row>
    <row r="149" spans="1:5" x14ac:dyDescent="0.2">
      <c r="A149" s="58" t="s">
        <v>506</v>
      </c>
      <c r="B149" s="31" t="s">
        <v>373</v>
      </c>
      <c r="C149" s="247"/>
      <c r="D149" s="31">
        <f t="shared" si="45"/>
        <v>0</v>
      </c>
      <c r="E149" s="58" t="s">
        <v>504</v>
      </c>
    </row>
    <row r="150" spans="1:5" x14ac:dyDescent="0.2">
      <c r="A150" s="58" t="s">
        <v>507</v>
      </c>
      <c r="B150" s="31" t="s">
        <v>373</v>
      </c>
      <c r="C150" s="247"/>
      <c r="D150" s="31">
        <f t="shared" si="45"/>
        <v>0</v>
      </c>
      <c r="E150" s="58" t="s">
        <v>504</v>
      </c>
    </row>
    <row r="151" spans="1:5" x14ac:dyDescent="0.2">
      <c r="A151" s="58" t="s">
        <v>508</v>
      </c>
      <c r="B151" s="31" t="s">
        <v>373</v>
      </c>
      <c r="C151" s="247"/>
      <c r="D151" s="31">
        <f t="shared" si="45"/>
        <v>0</v>
      </c>
      <c r="E151" s="58" t="s">
        <v>504</v>
      </c>
    </row>
    <row r="152" spans="1:5" x14ac:dyDescent="0.2">
      <c r="A152" s="58" t="s">
        <v>509</v>
      </c>
      <c r="B152" s="31" t="s">
        <v>373</v>
      </c>
      <c r="C152" s="247"/>
      <c r="D152" s="31">
        <f t="shared" si="45"/>
        <v>0</v>
      </c>
      <c r="E152" s="58" t="s">
        <v>504</v>
      </c>
    </row>
    <row r="153" spans="1:5" x14ac:dyDescent="0.2">
      <c r="A153" s="58" t="s">
        <v>510</v>
      </c>
      <c r="B153" s="31" t="s">
        <v>373</v>
      </c>
      <c r="C153" s="247"/>
      <c r="D153" s="31">
        <f t="shared" si="45"/>
        <v>0</v>
      </c>
      <c r="E153" s="58" t="s">
        <v>504</v>
      </c>
    </row>
    <row r="154" spans="1:5" x14ac:dyDescent="0.2">
      <c r="A154" s="58" t="s">
        <v>511</v>
      </c>
      <c r="B154" s="31" t="s">
        <v>373</v>
      </c>
      <c r="C154" s="247"/>
      <c r="D154" s="31">
        <f t="shared" si="45"/>
        <v>0</v>
      </c>
      <c r="E154" s="58" t="s">
        <v>504</v>
      </c>
    </row>
    <row r="155" spans="1:5" x14ac:dyDescent="0.2">
      <c r="A155" s="58" t="s">
        <v>512</v>
      </c>
      <c r="B155" s="31" t="s">
        <v>373</v>
      </c>
      <c r="C155" s="247"/>
      <c r="D155" s="31">
        <f t="shared" si="45"/>
        <v>0</v>
      </c>
      <c r="E155" s="58" t="s">
        <v>504</v>
      </c>
    </row>
    <row r="156" spans="1:5" x14ac:dyDescent="0.2">
      <c r="A156" s="58" t="s">
        <v>513</v>
      </c>
      <c r="B156" s="31" t="s">
        <v>373</v>
      </c>
      <c r="C156" s="247"/>
      <c r="D156" s="31">
        <f t="shared" si="45"/>
        <v>0</v>
      </c>
      <c r="E156" s="58" t="s">
        <v>504</v>
      </c>
    </row>
    <row r="157" spans="1:5" x14ac:dyDescent="0.2">
      <c r="A157" s="58" t="s">
        <v>514</v>
      </c>
      <c r="B157" s="31" t="s">
        <v>373</v>
      </c>
      <c r="C157" s="247"/>
      <c r="D157" s="31">
        <f t="shared" si="45"/>
        <v>0</v>
      </c>
      <c r="E157" s="58" t="s">
        <v>504</v>
      </c>
    </row>
    <row r="158" spans="1:5" x14ac:dyDescent="0.2">
      <c r="A158" s="58" t="s">
        <v>515</v>
      </c>
      <c r="B158" s="31" t="s">
        <v>373</v>
      </c>
      <c r="C158" s="247"/>
      <c r="D158" s="31">
        <f t="shared" si="45"/>
        <v>0</v>
      </c>
      <c r="E158" s="58" t="s">
        <v>504</v>
      </c>
    </row>
    <row r="159" spans="1:5" x14ac:dyDescent="0.2">
      <c r="A159" s="58" t="s">
        <v>516</v>
      </c>
      <c r="B159" s="31" t="s">
        <v>373</v>
      </c>
      <c r="C159" s="247"/>
      <c r="D159" s="31">
        <f t="shared" si="45"/>
        <v>0</v>
      </c>
      <c r="E159" s="58" t="s">
        <v>504</v>
      </c>
    </row>
    <row r="160" spans="1:5" x14ac:dyDescent="0.2">
      <c r="A160" s="58" t="s">
        <v>517</v>
      </c>
      <c r="B160" s="31" t="s">
        <v>373</v>
      </c>
      <c r="C160" s="247"/>
      <c r="D160" s="31">
        <f t="shared" si="45"/>
        <v>0</v>
      </c>
      <c r="E160" s="58" t="s">
        <v>504</v>
      </c>
    </row>
    <row r="161" spans="1:5" x14ac:dyDescent="0.2">
      <c r="A161" s="58" t="s">
        <v>518</v>
      </c>
      <c r="B161" s="31" t="s">
        <v>373</v>
      </c>
      <c r="C161" s="247"/>
      <c r="D161" s="31">
        <f t="shared" si="45"/>
        <v>0</v>
      </c>
      <c r="E161" s="58" t="s">
        <v>504</v>
      </c>
    </row>
    <row r="162" spans="1:5" x14ac:dyDescent="0.2">
      <c r="A162" s="58" t="s">
        <v>134</v>
      </c>
      <c r="B162" s="31" t="s">
        <v>373</v>
      </c>
      <c r="C162" s="247"/>
      <c r="D162" s="31">
        <f t="shared" si="45"/>
        <v>0</v>
      </c>
      <c r="E162" s="58" t="s">
        <v>504</v>
      </c>
    </row>
    <row r="163" spans="1:5" x14ac:dyDescent="0.2">
      <c r="A163" s="58" t="s">
        <v>519</v>
      </c>
      <c r="B163" s="31" t="s">
        <v>373</v>
      </c>
      <c r="C163" s="247"/>
      <c r="D163" s="31">
        <f t="shared" si="45"/>
        <v>0</v>
      </c>
      <c r="E163" s="58" t="s">
        <v>504</v>
      </c>
    </row>
    <row r="164" spans="1:5" x14ac:dyDescent="0.2">
      <c r="A164" s="58" t="s">
        <v>520</v>
      </c>
      <c r="B164" s="31" t="s">
        <v>373</v>
      </c>
      <c r="C164" s="247"/>
      <c r="D164" s="31">
        <f t="shared" si="45"/>
        <v>0</v>
      </c>
      <c r="E164" s="58" t="s">
        <v>504</v>
      </c>
    </row>
    <row r="165" spans="1:5" x14ac:dyDescent="0.2">
      <c r="A165" s="58" t="s">
        <v>521</v>
      </c>
      <c r="B165" s="31" t="s">
        <v>373</v>
      </c>
      <c r="C165" s="247"/>
      <c r="D165" s="31">
        <f t="shared" si="45"/>
        <v>0</v>
      </c>
      <c r="E165" s="58" t="s">
        <v>504</v>
      </c>
    </row>
    <row r="166" spans="1:5" x14ac:dyDescent="0.2">
      <c r="A166" s="58" t="s">
        <v>522</v>
      </c>
      <c r="B166" s="31" t="s">
        <v>373</v>
      </c>
      <c r="C166" s="247"/>
      <c r="D166" s="31">
        <f t="shared" si="45"/>
        <v>0</v>
      </c>
      <c r="E166" s="58" t="s">
        <v>504</v>
      </c>
    </row>
    <row r="167" spans="1:5" x14ac:dyDescent="0.2">
      <c r="A167" s="58" t="s">
        <v>523</v>
      </c>
      <c r="B167" s="31" t="s">
        <v>373</v>
      </c>
      <c r="C167" s="247"/>
      <c r="D167" s="31">
        <f t="shared" si="45"/>
        <v>0</v>
      </c>
      <c r="E167" s="58" t="s">
        <v>504</v>
      </c>
    </row>
    <row r="168" spans="1:5" x14ac:dyDescent="0.2">
      <c r="A168" s="58" t="s">
        <v>524</v>
      </c>
      <c r="B168" s="31" t="s">
        <v>373</v>
      </c>
      <c r="C168" s="247"/>
      <c r="D168" s="31">
        <f t="shared" si="45"/>
        <v>0</v>
      </c>
      <c r="E168" s="58" t="s">
        <v>504</v>
      </c>
    </row>
    <row r="169" spans="1:5" x14ac:dyDescent="0.2">
      <c r="A169" s="58" t="s">
        <v>525</v>
      </c>
      <c r="B169" s="31" t="s">
        <v>373</v>
      </c>
      <c r="C169" s="247"/>
      <c r="D169" s="31">
        <f t="shared" si="45"/>
        <v>0</v>
      </c>
      <c r="E169" s="58" t="s">
        <v>504</v>
      </c>
    </row>
    <row r="170" spans="1:5" x14ac:dyDescent="0.2">
      <c r="A170" s="58" t="s">
        <v>526</v>
      </c>
      <c r="B170" s="31" t="s">
        <v>373</v>
      </c>
      <c r="C170" s="247"/>
      <c r="D170" s="31">
        <f t="shared" si="45"/>
        <v>0</v>
      </c>
      <c r="E170" s="58" t="s">
        <v>504</v>
      </c>
    </row>
    <row r="171" spans="1:5" x14ac:dyDescent="0.2">
      <c r="A171" s="58" t="s">
        <v>527</v>
      </c>
      <c r="B171" s="31" t="s">
        <v>373</v>
      </c>
      <c r="C171" s="247"/>
      <c r="D171" s="31">
        <f t="shared" si="45"/>
        <v>0</v>
      </c>
      <c r="E171" s="58" t="s">
        <v>504</v>
      </c>
    </row>
    <row r="172" spans="1:5" x14ac:dyDescent="0.2">
      <c r="A172" s="58" t="s">
        <v>528</v>
      </c>
      <c r="B172" s="31" t="s">
        <v>373</v>
      </c>
      <c r="C172" s="247"/>
      <c r="D172" s="31">
        <f t="shared" si="45"/>
        <v>0</v>
      </c>
      <c r="E172" s="58" t="s">
        <v>529</v>
      </c>
    </row>
    <row r="173" spans="1:5" x14ac:dyDescent="0.2">
      <c r="A173" s="58" t="s">
        <v>530</v>
      </c>
      <c r="B173" s="31" t="s">
        <v>373</v>
      </c>
      <c r="C173" s="247"/>
      <c r="D173" s="31">
        <f t="shared" si="45"/>
        <v>0</v>
      </c>
      <c r="E173" s="58" t="s">
        <v>529</v>
      </c>
    </row>
    <row r="174" spans="1:5" x14ac:dyDescent="0.2">
      <c r="A174" s="58" t="s">
        <v>531</v>
      </c>
      <c r="B174" s="31" t="s">
        <v>373</v>
      </c>
      <c r="C174" s="247"/>
      <c r="D174" s="31">
        <f t="shared" si="45"/>
        <v>0</v>
      </c>
      <c r="E174" s="58" t="s">
        <v>529</v>
      </c>
    </row>
    <row r="175" spans="1:5" x14ac:dyDescent="0.2">
      <c r="A175" s="58" t="s">
        <v>532</v>
      </c>
      <c r="B175" s="31" t="s">
        <v>373</v>
      </c>
      <c r="C175" s="247"/>
      <c r="D175" s="31">
        <f t="shared" si="45"/>
        <v>0</v>
      </c>
      <c r="E175" s="58" t="s">
        <v>529</v>
      </c>
    </row>
    <row r="176" spans="1:5" x14ac:dyDescent="0.2">
      <c r="A176" s="58" t="s">
        <v>533</v>
      </c>
      <c r="B176" s="31" t="s">
        <v>373</v>
      </c>
      <c r="C176" s="247"/>
      <c r="D176" s="31">
        <f t="shared" si="45"/>
        <v>0</v>
      </c>
      <c r="E176" s="58" t="s">
        <v>529</v>
      </c>
    </row>
    <row r="177" spans="1:5" x14ac:dyDescent="0.2">
      <c r="A177" s="58" t="s">
        <v>534</v>
      </c>
      <c r="B177" s="31" t="s">
        <v>373</v>
      </c>
      <c r="C177" s="247"/>
      <c r="D177" s="31">
        <f t="shared" si="45"/>
        <v>0</v>
      </c>
      <c r="E177" s="58" t="s">
        <v>529</v>
      </c>
    </row>
    <row r="178" spans="1:5" x14ac:dyDescent="0.2">
      <c r="A178" s="58" t="s">
        <v>535</v>
      </c>
      <c r="B178" s="31" t="s">
        <v>373</v>
      </c>
      <c r="C178" s="247"/>
      <c r="D178" s="31">
        <f t="shared" si="45"/>
        <v>0</v>
      </c>
      <c r="E178" s="58" t="s">
        <v>529</v>
      </c>
    </row>
    <row r="179" spans="1:5" x14ac:dyDescent="0.2">
      <c r="A179" s="58" t="s">
        <v>536</v>
      </c>
      <c r="B179" s="31" t="s">
        <v>373</v>
      </c>
      <c r="C179" s="247"/>
      <c r="D179" s="31">
        <f t="shared" si="45"/>
        <v>0</v>
      </c>
      <c r="E179" s="58" t="s">
        <v>529</v>
      </c>
    </row>
    <row r="180" spans="1:5" x14ac:dyDescent="0.2">
      <c r="A180" s="58" t="s">
        <v>537</v>
      </c>
      <c r="B180" s="31" t="s">
        <v>373</v>
      </c>
      <c r="C180" s="247"/>
      <c r="D180" s="31">
        <f t="shared" si="45"/>
        <v>0</v>
      </c>
      <c r="E180" s="58" t="s">
        <v>529</v>
      </c>
    </row>
    <row r="181" spans="1:5" x14ac:dyDescent="0.2">
      <c r="A181" s="58" t="s">
        <v>538</v>
      </c>
      <c r="B181" s="31" t="s">
        <v>373</v>
      </c>
      <c r="C181" s="247"/>
      <c r="D181" s="31">
        <f t="shared" si="45"/>
        <v>0</v>
      </c>
      <c r="E181" s="58" t="s">
        <v>529</v>
      </c>
    </row>
    <row r="182" spans="1:5" x14ac:dyDescent="0.2">
      <c r="A182" s="58" t="s">
        <v>539</v>
      </c>
      <c r="B182" s="31" t="s">
        <v>373</v>
      </c>
      <c r="C182" s="247"/>
      <c r="D182" s="31">
        <f t="shared" si="45"/>
        <v>0</v>
      </c>
      <c r="E182" s="58" t="s">
        <v>529</v>
      </c>
    </row>
    <row r="183" spans="1:5" x14ac:dyDescent="0.2">
      <c r="A183" s="58" t="s">
        <v>540</v>
      </c>
      <c r="B183" s="31" t="s">
        <v>373</v>
      </c>
      <c r="C183" s="247"/>
      <c r="D183" s="31">
        <f t="shared" si="45"/>
        <v>0</v>
      </c>
      <c r="E183" s="58" t="s">
        <v>541</v>
      </c>
    </row>
    <row r="184" spans="1:5" x14ac:dyDescent="0.2">
      <c r="A184" s="58" t="s">
        <v>542</v>
      </c>
      <c r="B184" s="31" t="s">
        <v>373</v>
      </c>
      <c r="C184" s="247"/>
      <c r="D184" s="31">
        <f t="shared" si="45"/>
        <v>0</v>
      </c>
      <c r="E184" s="58" t="s">
        <v>541</v>
      </c>
    </row>
    <row r="185" spans="1:5" x14ac:dyDescent="0.2">
      <c r="A185" s="58" t="s">
        <v>543</v>
      </c>
      <c r="B185" s="31" t="s">
        <v>373</v>
      </c>
      <c r="C185" s="247"/>
      <c r="D185" s="31">
        <f t="shared" si="45"/>
        <v>0</v>
      </c>
      <c r="E185" s="58" t="s">
        <v>541</v>
      </c>
    </row>
    <row r="186" spans="1:5" x14ac:dyDescent="0.2">
      <c r="A186" s="58" t="s">
        <v>544</v>
      </c>
      <c r="B186" s="31" t="s">
        <v>373</v>
      </c>
      <c r="C186" s="247"/>
      <c r="D186" s="31">
        <f t="shared" si="45"/>
        <v>0</v>
      </c>
      <c r="E186" s="58" t="s">
        <v>541</v>
      </c>
    </row>
    <row r="187" spans="1:5" x14ac:dyDescent="0.2">
      <c r="A187" s="58" t="s">
        <v>545</v>
      </c>
      <c r="B187" s="31" t="s">
        <v>373</v>
      </c>
      <c r="C187" s="247"/>
      <c r="D187" s="31">
        <f t="shared" si="45"/>
        <v>0</v>
      </c>
      <c r="E187" s="58" t="s">
        <v>541</v>
      </c>
    </row>
    <row r="188" spans="1:5" x14ac:dyDescent="0.2">
      <c r="A188" s="58" t="s">
        <v>546</v>
      </c>
      <c r="B188" s="31" t="s">
        <v>373</v>
      </c>
      <c r="C188" s="247"/>
      <c r="D188" s="31">
        <f t="shared" si="45"/>
        <v>0</v>
      </c>
      <c r="E188" s="58" t="s">
        <v>541</v>
      </c>
    </row>
    <row r="189" spans="1:5" x14ac:dyDescent="0.2">
      <c r="A189" s="58" t="s">
        <v>547</v>
      </c>
      <c r="B189" s="31" t="s">
        <v>373</v>
      </c>
      <c r="C189" s="247"/>
      <c r="D189" s="31">
        <f t="shared" si="45"/>
        <v>0</v>
      </c>
      <c r="E189" s="58" t="s">
        <v>541</v>
      </c>
    </row>
    <row r="190" spans="1:5" x14ac:dyDescent="0.2">
      <c r="A190" s="58" t="s">
        <v>548</v>
      </c>
      <c r="B190" s="31" t="s">
        <v>373</v>
      </c>
      <c r="C190" s="247"/>
      <c r="D190" s="31">
        <f t="shared" si="45"/>
        <v>0</v>
      </c>
      <c r="E190" s="58" t="s">
        <v>541</v>
      </c>
    </row>
    <row r="191" spans="1:5" x14ac:dyDescent="0.2">
      <c r="A191" s="58" t="s">
        <v>549</v>
      </c>
      <c r="B191" s="31" t="s">
        <v>373</v>
      </c>
      <c r="C191" s="247"/>
      <c r="D191" s="31">
        <f t="shared" si="45"/>
        <v>0</v>
      </c>
      <c r="E191" s="58" t="s">
        <v>541</v>
      </c>
    </row>
    <row r="192" spans="1:5" x14ac:dyDescent="0.2">
      <c r="A192" s="58" t="s">
        <v>550</v>
      </c>
      <c r="B192" s="31" t="s">
        <v>373</v>
      </c>
      <c r="C192" s="247"/>
      <c r="D192" s="31">
        <f t="shared" si="45"/>
        <v>0</v>
      </c>
      <c r="E192" s="58" t="s">
        <v>541</v>
      </c>
    </row>
    <row r="193" spans="1:5" x14ac:dyDescent="0.2">
      <c r="A193" s="58" t="s">
        <v>551</v>
      </c>
      <c r="B193" s="31" t="s">
        <v>373</v>
      </c>
      <c r="C193" s="247"/>
      <c r="D193" s="31">
        <f t="shared" si="45"/>
        <v>0</v>
      </c>
      <c r="E193" s="58" t="s">
        <v>541</v>
      </c>
    </row>
    <row r="194" spans="1:5" x14ac:dyDescent="0.2">
      <c r="A194" s="58" t="s">
        <v>552</v>
      </c>
      <c r="B194" s="31" t="s">
        <v>373</v>
      </c>
      <c r="C194" s="247"/>
      <c r="D194" s="31">
        <f t="shared" ref="D194:D223" si="46">IF(B194="I",C194*2,IF(B194="G",C194,""))</f>
        <v>0</v>
      </c>
      <c r="E194" s="58" t="s">
        <v>553</v>
      </c>
    </row>
    <row r="195" spans="1:5" x14ac:dyDescent="0.2">
      <c r="A195" s="58" t="s">
        <v>554</v>
      </c>
      <c r="B195" s="31" t="s">
        <v>373</v>
      </c>
      <c r="C195" s="247"/>
      <c r="D195" s="31">
        <f t="shared" si="46"/>
        <v>0</v>
      </c>
      <c r="E195" s="58" t="s">
        <v>553</v>
      </c>
    </row>
    <row r="196" spans="1:5" x14ac:dyDescent="0.2">
      <c r="A196" s="58" t="s">
        <v>555</v>
      </c>
      <c r="B196" s="31" t="s">
        <v>373</v>
      </c>
      <c r="C196" s="247"/>
      <c r="D196" s="31">
        <f t="shared" si="46"/>
        <v>0</v>
      </c>
      <c r="E196" s="58" t="s">
        <v>553</v>
      </c>
    </row>
    <row r="197" spans="1:5" x14ac:dyDescent="0.2">
      <c r="A197" s="58" t="s">
        <v>556</v>
      </c>
      <c r="B197" s="31" t="s">
        <v>373</v>
      </c>
      <c r="C197" s="247"/>
      <c r="D197" s="31">
        <f t="shared" si="46"/>
        <v>0</v>
      </c>
      <c r="E197" s="58" t="s">
        <v>553</v>
      </c>
    </row>
    <row r="198" spans="1:5" x14ac:dyDescent="0.2">
      <c r="A198" s="58" t="s">
        <v>557</v>
      </c>
      <c r="B198" s="31" t="s">
        <v>373</v>
      </c>
      <c r="C198" s="247"/>
      <c r="D198" s="31">
        <f t="shared" si="46"/>
        <v>0</v>
      </c>
      <c r="E198" s="58" t="s">
        <v>553</v>
      </c>
    </row>
    <row r="199" spans="1:5" x14ac:dyDescent="0.2">
      <c r="A199" s="58" t="s">
        <v>558</v>
      </c>
      <c r="B199" s="31" t="s">
        <v>373</v>
      </c>
      <c r="C199" s="247"/>
      <c r="D199" s="31">
        <f t="shared" si="46"/>
        <v>0</v>
      </c>
      <c r="E199" s="58" t="s">
        <v>553</v>
      </c>
    </row>
    <row r="200" spans="1:5" x14ac:dyDescent="0.2">
      <c r="A200" s="58" t="s">
        <v>559</v>
      </c>
      <c r="B200" s="31" t="s">
        <v>373</v>
      </c>
      <c r="C200" s="247"/>
      <c r="D200" s="31">
        <f t="shared" si="46"/>
        <v>0</v>
      </c>
      <c r="E200" s="58" t="s">
        <v>553</v>
      </c>
    </row>
    <row r="201" spans="1:5" x14ac:dyDescent="0.2">
      <c r="A201" s="58" t="s">
        <v>560</v>
      </c>
      <c r="B201" s="31" t="s">
        <v>373</v>
      </c>
      <c r="C201" s="247"/>
      <c r="D201" s="31">
        <f t="shared" si="46"/>
        <v>0</v>
      </c>
      <c r="E201" s="58" t="s">
        <v>561</v>
      </c>
    </row>
    <row r="202" spans="1:5" x14ac:dyDescent="0.2">
      <c r="A202" s="58" t="s">
        <v>562</v>
      </c>
      <c r="B202" s="31" t="s">
        <v>373</v>
      </c>
      <c r="C202" s="247"/>
      <c r="D202" s="31">
        <f t="shared" si="46"/>
        <v>0</v>
      </c>
      <c r="E202" s="58" t="s">
        <v>561</v>
      </c>
    </row>
    <row r="203" spans="1:5" x14ac:dyDescent="0.2">
      <c r="A203" s="58" t="s">
        <v>563</v>
      </c>
      <c r="B203" s="31" t="s">
        <v>373</v>
      </c>
      <c r="C203" s="247"/>
      <c r="D203" s="31">
        <f t="shared" si="46"/>
        <v>0</v>
      </c>
      <c r="E203" s="58" t="s">
        <v>561</v>
      </c>
    </row>
    <row r="204" spans="1:5" x14ac:dyDescent="0.2">
      <c r="A204" s="58" t="s">
        <v>564</v>
      </c>
      <c r="B204" s="31" t="s">
        <v>373</v>
      </c>
      <c r="C204" s="247"/>
      <c r="D204" s="31">
        <f t="shared" si="46"/>
        <v>0</v>
      </c>
      <c r="E204" s="58" t="s">
        <v>561</v>
      </c>
    </row>
    <row r="205" spans="1:5" x14ac:dyDescent="0.2">
      <c r="A205" s="58" t="s">
        <v>565</v>
      </c>
      <c r="B205" s="31" t="s">
        <v>373</v>
      </c>
      <c r="C205" s="247"/>
      <c r="D205" s="31">
        <f t="shared" si="46"/>
        <v>0</v>
      </c>
      <c r="E205" s="58" t="s">
        <v>561</v>
      </c>
    </row>
    <row r="206" spans="1:5" x14ac:dyDescent="0.2">
      <c r="A206" s="58" t="s">
        <v>566</v>
      </c>
      <c r="B206" s="31" t="s">
        <v>373</v>
      </c>
      <c r="C206" s="247"/>
      <c r="D206" s="31">
        <f t="shared" si="46"/>
        <v>0</v>
      </c>
      <c r="E206" s="58" t="s">
        <v>561</v>
      </c>
    </row>
    <row r="207" spans="1:5" x14ac:dyDescent="0.2">
      <c r="A207" s="58" t="s">
        <v>567</v>
      </c>
      <c r="B207" s="31" t="s">
        <v>373</v>
      </c>
      <c r="C207" s="247"/>
      <c r="D207" s="31">
        <f t="shared" si="46"/>
        <v>0</v>
      </c>
      <c r="E207" s="58" t="s">
        <v>561</v>
      </c>
    </row>
    <row r="208" spans="1:5" x14ac:dyDescent="0.2">
      <c r="A208" s="58" t="s">
        <v>568</v>
      </c>
      <c r="B208" s="31" t="s">
        <v>373</v>
      </c>
      <c r="C208" s="247"/>
      <c r="D208" s="31">
        <f t="shared" si="46"/>
        <v>0</v>
      </c>
      <c r="E208" s="58" t="s">
        <v>561</v>
      </c>
    </row>
    <row r="209" spans="1:5" x14ac:dyDescent="0.2">
      <c r="A209" s="58" t="s">
        <v>569</v>
      </c>
      <c r="B209" s="31" t="s">
        <v>373</v>
      </c>
      <c r="C209" s="247"/>
      <c r="D209" s="31">
        <f t="shared" si="46"/>
        <v>0</v>
      </c>
      <c r="E209" s="58" t="s">
        <v>561</v>
      </c>
    </row>
    <row r="210" spans="1:5" x14ac:dyDescent="0.2">
      <c r="A210" s="58" t="s">
        <v>570</v>
      </c>
      <c r="B210" s="31" t="s">
        <v>373</v>
      </c>
      <c r="C210" s="247"/>
      <c r="D210" s="31">
        <f t="shared" si="46"/>
        <v>0</v>
      </c>
      <c r="E210" s="58" t="s">
        <v>561</v>
      </c>
    </row>
    <row r="211" spans="1:5" x14ac:dyDescent="0.2">
      <c r="A211" s="58" t="s">
        <v>571</v>
      </c>
      <c r="B211" s="31" t="s">
        <v>373</v>
      </c>
      <c r="C211" s="247"/>
      <c r="D211" s="31">
        <f t="shared" si="46"/>
        <v>0</v>
      </c>
      <c r="E211" s="58" t="s">
        <v>561</v>
      </c>
    </row>
    <row r="212" spans="1:5" x14ac:dyDescent="0.2">
      <c r="A212" s="58" t="s">
        <v>572</v>
      </c>
      <c r="B212" s="31" t="s">
        <v>373</v>
      </c>
      <c r="C212" s="247"/>
      <c r="D212" s="31">
        <f t="shared" si="46"/>
        <v>0</v>
      </c>
      <c r="E212" s="58" t="s">
        <v>561</v>
      </c>
    </row>
    <row r="213" spans="1:5" x14ac:dyDescent="0.2">
      <c r="A213" s="58" t="s">
        <v>573</v>
      </c>
      <c r="B213" s="31" t="s">
        <v>373</v>
      </c>
      <c r="C213" s="247"/>
      <c r="D213" s="31">
        <f t="shared" si="46"/>
        <v>0</v>
      </c>
      <c r="E213" s="58" t="s">
        <v>561</v>
      </c>
    </row>
    <row r="214" spans="1:5" x14ac:dyDescent="0.2">
      <c r="A214" s="58" t="s">
        <v>574</v>
      </c>
      <c r="B214" s="31" t="s">
        <v>373</v>
      </c>
      <c r="C214" s="247"/>
      <c r="D214" s="31">
        <f t="shared" si="46"/>
        <v>0</v>
      </c>
      <c r="E214" s="58" t="s">
        <v>575</v>
      </c>
    </row>
    <row r="215" spans="1:5" x14ac:dyDescent="0.2">
      <c r="A215" s="58" t="s">
        <v>576</v>
      </c>
      <c r="B215" s="31" t="s">
        <v>373</v>
      </c>
      <c r="C215" s="247"/>
      <c r="D215" s="31">
        <f t="shared" si="46"/>
        <v>0</v>
      </c>
      <c r="E215" s="58" t="s">
        <v>575</v>
      </c>
    </row>
    <row r="216" spans="1:5" x14ac:dyDescent="0.2">
      <c r="A216" s="58" t="s">
        <v>577</v>
      </c>
      <c r="B216" s="31" t="s">
        <v>373</v>
      </c>
      <c r="C216" s="247"/>
      <c r="D216" s="31">
        <f t="shared" si="46"/>
        <v>0</v>
      </c>
      <c r="E216" s="58" t="s">
        <v>575</v>
      </c>
    </row>
    <row r="217" spans="1:5" x14ac:dyDescent="0.2">
      <c r="A217" s="58" t="s">
        <v>578</v>
      </c>
      <c r="B217" s="31" t="s">
        <v>373</v>
      </c>
      <c r="C217" s="247"/>
      <c r="D217" s="31">
        <f t="shared" si="46"/>
        <v>0</v>
      </c>
      <c r="E217" s="58" t="s">
        <v>575</v>
      </c>
    </row>
    <row r="218" spans="1:5" x14ac:dyDescent="0.2">
      <c r="A218" s="58" t="s">
        <v>579</v>
      </c>
      <c r="B218" s="31" t="s">
        <v>373</v>
      </c>
      <c r="C218" s="247"/>
      <c r="D218" s="31">
        <f t="shared" si="46"/>
        <v>0</v>
      </c>
      <c r="E218" s="58" t="s">
        <v>575</v>
      </c>
    </row>
    <row r="219" spans="1:5" x14ac:dyDescent="0.2">
      <c r="A219" s="58" t="s">
        <v>580</v>
      </c>
      <c r="B219" s="31" t="s">
        <v>373</v>
      </c>
      <c r="C219" s="247"/>
      <c r="D219" s="31">
        <f t="shared" si="46"/>
        <v>0</v>
      </c>
      <c r="E219" s="58" t="s">
        <v>575</v>
      </c>
    </row>
    <row r="220" spans="1:5" x14ac:dyDescent="0.2">
      <c r="A220" s="58" t="s">
        <v>581</v>
      </c>
      <c r="B220" s="31" t="s">
        <v>373</v>
      </c>
      <c r="C220" s="247"/>
      <c r="D220" s="31">
        <f t="shared" si="46"/>
        <v>0</v>
      </c>
      <c r="E220" s="58" t="s">
        <v>582</v>
      </c>
    </row>
    <row r="221" spans="1:5" x14ac:dyDescent="0.2">
      <c r="A221" s="58" t="s">
        <v>583</v>
      </c>
      <c r="B221" s="31" t="s">
        <v>373</v>
      </c>
      <c r="C221" s="247"/>
      <c r="D221" s="31">
        <f t="shared" si="46"/>
        <v>0</v>
      </c>
      <c r="E221" s="58" t="s">
        <v>582</v>
      </c>
    </row>
    <row r="222" spans="1:5" x14ac:dyDescent="0.2">
      <c r="A222" s="58" t="s">
        <v>584</v>
      </c>
      <c r="B222" s="31" t="s">
        <v>373</v>
      </c>
      <c r="C222" s="247"/>
      <c r="D222" s="31">
        <f t="shared" si="46"/>
        <v>0</v>
      </c>
      <c r="E222" s="58" t="s">
        <v>582</v>
      </c>
    </row>
    <row r="223" spans="1:5" x14ac:dyDescent="0.2">
      <c r="A223" s="58" t="s">
        <v>585</v>
      </c>
      <c r="B223" s="31" t="s">
        <v>373</v>
      </c>
      <c r="C223" s="247"/>
      <c r="D223" s="31">
        <f t="shared" si="46"/>
        <v>0</v>
      </c>
      <c r="E223" s="58" t="s">
        <v>582</v>
      </c>
    </row>
  </sheetData>
  <mergeCells count="1">
    <mergeCell ref="S8:U8"/>
  </mergeCells>
  <phoneticPr fontId="3" type="noConversion"/>
  <pageMargins left="0.39370078740157483" right="0.39370078740157483" top="0.39370078740157483" bottom="0.39370078740157483" header="0.39370078740157483" footer="0.39370078740157483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C3560-AA1A-4121-83D4-D73739B1F9AB}">
  <dimension ref="A1:AB101"/>
  <sheetViews>
    <sheetView showGridLines="0" topLeftCell="A34" workbookViewId="0">
      <selection activeCell="N25" sqref="N25"/>
    </sheetView>
  </sheetViews>
  <sheetFormatPr defaultColWidth="5.5703125" defaultRowHeight="12.75" x14ac:dyDescent="0.2"/>
  <cols>
    <col min="1" max="21" width="5.5703125" style="444"/>
    <col min="22" max="22" width="5.5703125" style="444" customWidth="1"/>
    <col min="23" max="16384" width="5.5703125" style="444"/>
  </cols>
  <sheetData>
    <row r="1" spans="1:28" ht="15" x14ac:dyDescent="0.2">
      <c r="A1" s="438" t="str">
        <f>Setup!$B$2</f>
        <v>Character's name</v>
      </c>
      <c r="B1" s="439"/>
      <c r="C1" s="439"/>
      <c r="D1" s="439"/>
      <c r="E1" s="439"/>
      <c r="F1" s="440"/>
      <c r="G1" s="441" t="str">
        <f>Stats!$B$1</f>
        <v>PS</v>
      </c>
      <c r="H1" s="442">
        <f>Stats!$B$2</f>
        <v>15</v>
      </c>
      <c r="I1" s="441" t="str">
        <f>Stats!$C$1</f>
        <v>MD</v>
      </c>
      <c r="J1" s="442">
        <f>Stats!$C$2</f>
        <v>15</v>
      </c>
      <c r="K1" s="441" t="str">
        <f>Stats!$D$1</f>
        <v>AG</v>
      </c>
      <c r="L1" s="442">
        <f>Stats!$D$2</f>
        <v>15</v>
      </c>
      <c r="M1" s="441" t="str">
        <f>Stats!$E$1</f>
        <v>MA</v>
      </c>
      <c r="N1" s="442">
        <f>Stats!$E$2</f>
        <v>15</v>
      </c>
      <c r="O1" s="441" t="str">
        <f>Stats!$F$1</f>
        <v>WP</v>
      </c>
      <c r="P1" s="442">
        <f>Stats!$F$2</f>
        <v>15</v>
      </c>
      <c r="Q1" s="441" t="str">
        <f>Stats!$G$1</f>
        <v>EN</v>
      </c>
      <c r="R1" s="443">
        <f>Stats!$G$2</f>
        <v>15</v>
      </c>
      <c r="U1" s="568" t="str">
        <f>Combat!$A$3&amp;":"</f>
        <v>Unengaged IV:</v>
      </c>
      <c r="V1" s="475" t="str">
        <f>Combat!$B$3</f>
        <v>5 + D10</v>
      </c>
      <c r="W1" s="564"/>
      <c r="X1" s="564" t="s">
        <v>1525</v>
      </c>
    </row>
    <row r="2" spans="1:28" ht="14.25" x14ac:dyDescent="0.2">
      <c r="A2" s="445" t="str">
        <f>Setup!$B$3</f>
        <v>Human</v>
      </c>
      <c r="B2" s="446"/>
      <c r="C2" s="446"/>
      <c r="D2" s="446"/>
      <c r="E2" s="446"/>
      <c r="F2" s="447"/>
      <c r="G2" s="816">
        <f>Stats!$B$3</f>
        <v>15</v>
      </c>
      <c r="H2" s="817"/>
      <c r="I2" s="816">
        <f>Stats!$C$3</f>
        <v>13</v>
      </c>
      <c r="J2" s="817"/>
      <c r="K2" s="816">
        <f>Stats!$D$3</f>
        <v>11</v>
      </c>
      <c r="L2" s="817"/>
      <c r="M2" s="816">
        <f>Stats!$E$3</f>
        <v>15</v>
      </c>
      <c r="N2" s="817"/>
      <c r="O2" s="816">
        <f>Stats!$F$3</f>
        <v>15</v>
      </c>
      <c r="P2" s="817"/>
      <c r="Q2" s="816">
        <f>Stats!$G$3</f>
        <v>15</v>
      </c>
      <c r="R2" s="820"/>
      <c r="U2" s="568" t="str">
        <f>Combat!$E$2</f>
        <v>Dmg to Stun:</v>
      </c>
      <c r="V2" s="475">
        <f>Combat!$G$2</f>
        <v>6</v>
      </c>
      <c r="W2" s="475"/>
      <c r="X2" s="569" t="s">
        <v>1522</v>
      </c>
    </row>
    <row r="3" spans="1:28" ht="14.25" x14ac:dyDescent="0.2">
      <c r="A3" s="445" t="str">
        <f>Setup!$B$9&amp;" Aspect"</f>
        <v xml:space="preserve"> Aspect</v>
      </c>
      <c r="B3" s="448"/>
      <c r="C3" s="448"/>
      <c r="D3" s="448"/>
      <c r="E3" s="448"/>
      <c r="F3" s="449"/>
      <c r="G3" s="818"/>
      <c r="H3" s="819"/>
      <c r="I3" s="818"/>
      <c r="J3" s="819"/>
      <c r="K3" s="818"/>
      <c r="L3" s="819"/>
      <c r="M3" s="818"/>
      <c r="N3" s="819"/>
      <c r="O3" s="818"/>
      <c r="P3" s="819"/>
      <c r="Q3" s="818"/>
      <c r="R3" s="821"/>
      <c r="U3" s="568" t="str">
        <f>Combat!$E$3</f>
        <v>Dmg to -1:</v>
      </c>
      <c r="V3" s="475">
        <f>Combat!$G$3</f>
        <v>35</v>
      </c>
      <c r="W3" s="475"/>
      <c r="X3" s="569" t="s">
        <v>1524</v>
      </c>
    </row>
    <row r="4" spans="1:28" ht="14.25" x14ac:dyDescent="0.2">
      <c r="A4" s="445" t="str">
        <f>Setup!B10</f>
        <v>Adventurer</v>
      </c>
      <c r="B4" s="448"/>
      <c r="C4" s="448"/>
      <c r="D4" s="448"/>
      <c r="E4" s="448"/>
      <c r="F4" s="449"/>
      <c r="G4" s="450" t="s">
        <v>200</v>
      </c>
      <c r="H4" s="451" t="s">
        <v>1454</v>
      </c>
      <c r="I4" s="450" t="s">
        <v>121</v>
      </c>
      <c r="J4" s="451" t="s">
        <v>1454</v>
      </c>
      <c r="K4" s="450" t="str">
        <f>Stats!$J$1</f>
        <v>TMR</v>
      </c>
      <c r="L4" s="452">
        <f ca="1">Stats!$J$2</f>
        <v>5</v>
      </c>
      <c r="M4" s="450" t="str">
        <f>Stats!$I$1</f>
        <v>PC</v>
      </c>
      <c r="N4" s="452">
        <f>Stats!$I$2</f>
        <v>5</v>
      </c>
      <c r="O4" s="450" t="str">
        <f>Stats!$K$1</f>
        <v>PB</v>
      </c>
      <c r="P4" s="452">
        <f>Stats!$K$2</f>
        <v>15</v>
      </c>
      <c r="Q4" s="450" t="str">
        <f>Stats!$H$1</f>
        <v>FT</v>
      </c>
      <c r="R4" s="452">
        <f>Stats!$H$2</f>
        <v>20</v>
      </c>
      <c r="U4" s="568" t="str">
        <f>Combat!$H$3</f>
        <v>.. to kill</v>
      </c>
      <c r="V4" s="475">
        <f>Combat!$I$3</f>
        <v>43</v>
      </c>
      <c r="W4" s="475"/>
      <c r="X4" s="569" t="s">
        <v>1523</v>
      </c>
    </row>
    <row r="5" spans="1:28" ht="14.25" x14ac:dyDescent="0.2">
      <c r="A5" s="445">
        <f>Setup!B4</f>
        <v>0</v>
      </c>
      <c r="B5" s="448"/>
      <c r="C5" s="448"/>
      <c r="D5" s="448"/>
      <c r="E5" s="448"/>
      <c r="F5" s="449"/>
      <c r="G5" s="816">
        <f>Combat!$B$4</f>
        <v>11</v>
      </c>
      <c r="H5" s="817"/>
      <c r="I5" s="816" t="str">
        <f>Combat!$I$1</f>
        <v>35</v>
      </c>
      <c r="J5" s="817"/>
      <c r="K5" s="816">
        <f ca="1">Stats!$J$3</f>
        <v>4</v>
      </c>
      <c r="L5" s="817"/>
      <c r="M5" s="816">
        <f>Stats!$I$3</f>
        <v>5</v>
      </c>
      <c r="N5" s="817"/>
      <c r="O5" s="816">
        <f>Stats!$K$3</f>
        <v>15</v>
      </c>
      <c r="P5" s="817"/>
      <c r="Q5" s="816">
        <f>Stats!$H$3</f>
        <v>20</v>
      </c>
      <c r="R5" s="817"/>
      <c r="U5" s="475" t="str">
        <f>Combat!$H$2</f>
        <v>Die At</v>
      </c>
      <c r="V5" s="475">
        <f>Combat!$I$2</f>
        <v>-8</v>
      </c>
      <c r="W5" s="475"/>
      <c r="X5" s="569" t="s">
        <v>1521</v>
      </c>
    </row>
    <row r="6" spans="1:28" x14ac:dyDescent="0.2">
      <c r="A6" s="453"/>
      <c r="B6" s="454"/>
      <c r="C6" s="455" t="s">
        <v>1455</v>
      </c>
      <c r="D6" s="456">
        <f>Setup!$J$8</f>
        <v>150</v>
      </c>
      <c r="E6" s="457" t="s">
        <v>1456</v>
      </c>
      <c r="F6" s="456" t="str">
        <f>Setup!$B$7</f>
        <v>5' 9"</v>
      </c>
      <c r="G6" s="822"/>
      <c r="H6" s="823"/>
      <c r="I6" s="822"/>
      <c r="J6" s="823"/>
      <c r="K6" s="822"/>
      <c r="L6" s="823"/>
      <c r="M6" s="822"/>
      <c r="N6" s="823"/>
      <c r="O6" s="818"/>
      <c r="P6" s="819"/>
      <c r="Q6" s="818"/>
      <c r="R6" s="819"/>
      <c r="U6" s="568" t="str">
        <f>Combat!$E$1</f>
        <v>Stun Rec %</v>
      </c>
      <c r="V6" s="475">
        <f>Combat!$G$1</f>
        <v>50</v>
      </c>
      <c r="W6" s="475"/>
      <c r="X6" s="475" t="s">
        <v>1526</v>
      </c>
    </row>
    <row r="7" spans="1:28" ht="3" customHeight="1" x14ac:dyDescent="0.2"/>
    <row r="8" spans="1:28" x14ac:dyDescent="0.2">
      <c r="A8" s="458" t="s">
        <v>149</v>
      </c>
      <c r="B8" s="459" t="s">
        <v>166</v>
      </c>
      <c r="C8" s="460"/>
      <c r="D8" s="460"/>
      <c r="E8" s="460"/>
      <c r="F8" s="461"/>
      <c r="G8" s="462" t="s">
        <v>1457</v>
      </c>
      <c r="H8" s="462" t="s">
        <v>1458</v>
      </c>
      <c r="I8" s="462" t="s">
        <v>1459</v>
      </c>
      <c r="J8" s="462" t="s">
        <v>1</v>
      </c>
      <c r="K8" s="462" t="s">
        <v>1460</v>
      </c>
      <c r="L8" s="463" t="s">
        <v>3</v>
      </c>
      <c r="M8" s="464" t="s">
        <v>1450</v>
      </c>
      <c r="N8" s="465"/>
      <c r="O8" s="465"/>
      <c r="P8" s="466" t="s">
        <v>124</v>
      </c>
      <c r="Q8" s="466" t="s">
        <v>114</v>
      </c>
      <c r="R8" s="467" t="s">
        <v>1461</v>
      </c>
      <c r="U8" s="568" t="s">
        <v>1527</v>
      </c>
      <c r="V8" s="475" t="str">
        <f ca="1">"+"&amp;Combat!$S$4</f>
        <v>+0</v>
      </c>
      <c r="X8" s="444" t="str">
        <f ca="1">"Evade: "&amp;Combat!$F$4&amp;" Melee. +20 vs Ranged"</f>
        <v>Evade: +10-10 Melee. +20 vs Ranged</v>
      </c>
    </row>
    <row r="9" spans="1:28" x14ac:dyDescent="0.2">
      <c r="A9" s="468" t="str">
        <f ca="1">Combat!B7</f>
        <v>Un</v>
      </c>
      <c r="B9" s="469" t="str">
        <f ca="1">Combat!A7&amp;IF(Combat!Z7&gt;""," ("&amp;Combat!Z7&amp;")","")</f>
        <v>Unarmed</v>
      </c>
      <c r="C9" s="470"/>
      <c r="D9" s="470"/>
      <c r="E9" s="470"/>
      <c r="F9" s="471"/>
      <c r="G9" s="472">
        <f ca="1">Combat!C7</f>
        <v>16</v>
      </c>
      <c r="H9" s="472">
        <f ca="1">Combat!D7</f>
        <v>22</v>
      </c>
      <c r="I9" s="472">
        <f ca="1">Combat!E7</f>
        <v>-4</v>
      </c>
      <c r="J9" s="472" t="str">
        <f ca="1">Combat!F7</f>
        <v>C</v>
      </c>
      <c r="K9" s="472" t="str">
        <f ca="1">Combat!I7</f>
        <v/>
      </c>
      <c r="L9" s="473" t="str">
        <f ca="1">Combat!M7</f>
        <v>MC</v>
      </c>
      <c r="M9" s="474" t="str">
        <f>Bonuses!B16</f>
        <v>Hard Leather Armour AP 5 Wt 3 AG -1</v>
      </c>
      <c r="N9" s="475"/>
      <c r="O9" s="475"/>
      <c r="P9" s="476">
        <f>Bonuses!AN16</f>
        <v>5</v>
      </c>
      <c r="Q9" s="476">
        <f>Bonuses!AO16</f>
        <v>0</v>
      </c>
      <c r="R9" s="477">
        <f>Bonuses!V16</f>
        <v>0</v>
      </c>
      <c r="U9" s="568" t="s">
        <v>1528</v>
      </c>
      <c r="V9" s="475" t="str">
        <f>IF(Combat!$B$4&lt;&gt;Combat!$D$4,Combat!$D$4&amp;"% in Melee  ","")&amp;IF(Combat!$B$4&lt;&gt;Combat!$G$4,Combat!$G$4&amp;"% in Close  ","")&amp;IF(Combat!$B$4&lt;&gt;Combat!$I$4,Combat!$I$4&amp;"% Ranged  ","")</f>
        <v/>
      </c>
    </row>
    <row r="10" spans="1:28" x14ac:dyDescent="0.2">
      <c r="A10" s="468" t="str">
        <f ca="1">Combat!B8</f>
        <v>Un</v>
      </c>
      <c r="B10" s="469" t="str">
        <f ca="1">Combat!A8&amp;IF(Combat!Z8&gt;""," ("&amp;Combat!Z8&amp;")","")</f>
        <v>Small Round</v>
      </c>
      <c r="C10" s="470"/>
      <c r="D10" s="470"/>
      <c r="E10" s="470"/>
      <c r="F10" s="471"/>
      <c r="G10" s="472" t="str">
        <f ca="1">Combat!J8</f>
        <v/>
      </c>
      <c r="H10" s="472" t="str">
        <f ca="1">Combat!K8</f>
        <v/>
      </c>
      <c r="I10" s="472">
        <f ca="1">Combat!E8</f>
        <v>-1</v>
      </c>
      <c r="J10" s="472" t="str">
        <f ca="1">Combat!F8</f>
        <v>C</v>
      </c>
      <c r="K10" s="472" t="str">
        <f ca="1">Combat!I8</f>
        <v/>
      </c>
      <c r="L10" s="473" t="str">
        <f ca="1">Combat!M8</f>
        <v>M</v>
      </c>
      <c r="M10" s="474" t="str">
        <f>Bonuses!B17</f>
        <v>2nd Armour/Protection</v>
      </c>
      <c r="N10" s="475"/>
      <c r="O10" s="475"/>
      <c r="P10" s="476">
        <f>Bonuses!AN17</f>
        <v>0</v>
      </c>
      <c r="Q10" s="476">
        <f>Bonuses!AO17</f>
        <v>0</v>
      </c>
      <c r="R10" s="477">
        <f>Bonuses!V17</f>
        <v>0</v>
      </c>
    </row>
    <row r="11" spans="1:28" x14ac:dyDescent="0.2">
      <c r="A11" s="468" t="str">
        <f ca="1">Combat!B9</f>
        <v>Un</v>
      </c>
      <c r="B11" s="469" t="str">
        <f ca="1">Combat!A9&amp;IF(Combat!Z9&gt;""," ("&amp;Combat!Z9&amp;")","")</f>
        <v>Battle Axe (1-2)</v>
      </c>
      <c r="C11" s="470"/>
      <c r="D11" s="470"/>
      <c r="E11" s="470"/>
      <c r="F11" s="471"/>
      <c r="G11" s="472">
        <f ca="1">Combat!C9</f>
        <v>16</v>
      </c>
      <c r="H11" s="472">
        <f ca="1">Combat!D9</f>
        <v>60</v>
      </c>
      <c r="I11" s="472">
        <f ca="1">Combat!E9</f>
        <v>4</v>
      </c>
      <c r="J11" s="472" t="str">
        <f ca="1">Combat!F9</f>
        <v>B</v>
      </c>
      <c r="K11" s="472" t="str">
        <f ca="1">Combat!I9</f>
        <v>6 hx</v>
      </c>
      <c r="L11" s="473" t="str">
        <f ca="1">Combat!M9</f>
        <v>RM</v>
      </c>
      <c r="M11" s="474" t="str">
        <f>Bonuses!B18</f>
        <v>3rd Armour/Protection</v>
      </c>
      <c r="N11" s="475"/>
      <c r="O11" s="475"/>
      <c r="P11" s="476">
        <f>Bonuses!AN18</f>
        <v>0</v>
      </c>
      <c r="Q11" s="476">
        <f>Bonuses!AO18</f>
        <v>0</v>
      </c>
      <c r="R11" s="477">
        <f>Bonuses!V18</f>
        <v>0</v>
      </c>
    </row>
    <row r="12" spans="1:28" x14ac:dyDescent="0.2">
      <c r="A12" s="468" t="str">
        <f ca="1">Combat!B10</f>
        <v>Un</v>
      </c>
      <c r="B12" s="469" t="str">
        <f ca="1">Combat!A10&amp;IF(Combat!Z10&gt;""," ("&amp;Combat!Z10&amp;")","")</f>
        <v>Falchion</v>
      </c>
      <c r="C12" s="470"/>
      <c r="D12" s="470"/>
      <c r="E12" s="470"/>
      <c r="F12" s="471"/>
      <c r="G12" s="472">
        <f ca="1">Combat!C10</f>
        <v>16</v>
      </c>
      <c r="H12" s="472">
        <f ca="1">Combat!D10</f>
        <v>50</v>
      </c>
      <c r="I12" s="472">
        <f ca="1">Combat!E10</f>
        <v>2</v>
      </c>
      <c r="J12" s="472" t="str">
        <f ca="1">Combat!F10</f>
        <v>B</v>
      </c>
      <c r="K12" s="472" t="str">
        <f ca="1">Combat!I10</f>
        <v/>
      </c>
      <c r="L12" s="473" t="str">
        <f ca="1">Combat!M10</f>
        <v>M</v>
      </c>
      <c r="M12" s="474" t="str">
        <f>Bonuses!B10</f>
        <v>Defence Spell…</v>
      </c>
      <c r="N12" s="475"/>
      <c r="O12" s="475"/>
      <c r="P12" s="476">
        <f>Bonuses!AN10</f>
        <v>0</v>
      </c>
      <c r="Q12" s="476">
        <f>Bonuses!AO10</f>
        <v>0</v>
      </c>
      <c r="R12" s="477">
        <f>Bonuses!V10</f>
        <v>0</v>
      </c>
    </row>
    <row r="13" spans="1:28" x14ac:dyDescent="0.2">
      <c r="A13" s="478" t="str">
        <f ca="1">Combat!B11</f>
        <v>Un</v>
      </c>
      <c r="B13" s="479" t="str">
        <f ca="1">Combat!A11&amp;IF(Combat!Z11&gt;""," ("&amp;Combat!Z11&amp;")","")</f>
        <v>Dagger</v>
      </c>
      <c r="C13" s="480"/>
      <c r="D13" s="480"/>
      <c r="E13" s="480"/>
      <c r="F13" s="481"/>
      <c r="G13" s="482">
        <f ca="1">Combat!C11</f>
        <v>16</v>
      </c>
      <c r="H13" s="482">
        <f ca="1">Combat!D11</f>
        <v>40</v>
      </c>
      <c r="I13" s="482">
        <f ca="1">Combat!E11</f>
        <v>1</v>
      </c>
      <c r="J13" s="482" t="str">
        <f ca="1">Combat!F11</f>
        <v>A</v>
      </c>
      <c r="K13" s="482" t="str">
        <f ca="1">Combat!I11</f>
        <v>8 hx</v>
      </c>
      <c r="L13" s="483" t="str">
        <f ca="1">Combat!M11</f>
        <v>RMC</v>
      </c>
      <c r="M13" s="484" t="s">
        <v>343</v>
      </c>
      <c r="N13" s="485"/>
      <c r="O13" s="485"/>
      <c r="P13" s="486">
        <f>Bonuses!AN3+Bonuses!AP3+Bonuses!AQ3</f>
        <v>5</v>
      </c>
      <c r="Q13" s="486">
        <f>Bonuses!AO3+Bonuses!AP3+Bonuses!AQ3</f>
        <v>0</v>
      </c>
      <c r="R13" s="487">
        <f>Bonuses!V3+Bonuses!AP3</f>
        <v>0</v>
      </c>
    </row>
    <row r="14" spans="1:28" ht="3" customHeight="1" x14ac:dyDescent="0.2"/>
    <row r="15" spans="1:28" x14ac:dyDescent="0.2">
      <c r="A15" s="488" t="str">
        <f>Skills!$B$1</f>
        <v>Rk</v>
      </c>
      <c r="B15" s="466" t="str">
        <f>Skills!$C$1</f>
        <v>BC%</v>
      </c>
      <c r="C15" s="465" t="str">
        <f>IF(Skills!$A102&lt;&gt;"",Skills!$A102,"")</f>
        <v/>
      </c>
      <c r="D15" s="489"/>
      <c r="E15" s="489"/>
      <c r="F15" s="490"/>
      <c r="G15" s="488" t="str">
        <f>Skills!$B$1</f>
        <v>Rk</v>
      </c>
      <c r="H15" s="465" t="str">
        <f>Skills!$A$80</f>
        <v>Languages</v>
      </c>
      <c r="I15" s="489"/>
      <c r="J15" s="489"/>
      <c r="K15" s="466" t="str">
        <f>Skills!$B$1</f>
        <v>Rk</v>
      </c>
      <c r="L15" s="465" t="str">
        <f>Skills!$A$80</f>
        <v>Languages</v>
      </c>
      <c r="M15" s="489"/>
      <c r="N15" s="489"/>
      <c r="O15" s="466" t="str">
        <f>Skills!$B$1</f>
        <v>Rk</v>
      </c>
      <c r="P15" s="465" t="str">
        <f>Skills!$A$80</f>
        <v>Languages</v>
      </c>
      <c r="Q15" s="489"/>
      <c r="R15" s="490"/>
      <c r="T15" s="570" t="s">
        <v>1513</v>
      </c>
      <c r="V15" s="571" t="s">
        <v>109</v>
      </c>
      <c r="W15" s="571" t="s">
        <v>110</v>
      </c>
      <c r="X15" s="571" t="s">
        <v>111</v>
      </c>
      <c r="Y15" s="571" t="s">
        <v>112</v>
      </c>
      <c r="Z15" s="571" t="s">
        <v>113</v>
      </c>
      <c r="AA15" s="571" t="s">
        <v>114</v>
      </c>
      <c r="AB15" s="571" t="s">
        <v>122</v>
      </c>
    </row>
    <row r="16" spans="1:28" s="475" customFormat="1" ht="12" x14ac:dyDescent="0.2">
      <c r="A16" s="491" t="str">
        <f>IF(Skills!$B75&lt;&gt;"",Skills!$B75&amp;IF(AND(Skills!$B75&lt;&gt;Skills!$H75,Skills!$H75&gt;=0)," ("&amp;Skills!$H75&amp;")",""),"")</f>
        <v>0</v>
      </c>
      <c r="B16" s="476">
        <f>IF(Skills!$C75&lt;&gt;"",Skills!$C75,"")</f>
        <v>52</v>
      </c>
      <c r="C16" s="475" t="str">
        <f>IF(Skills!$A75&lt;&gt;"",Skills!$A75,"")</f>
        <v>Climbing</v>
      </c>
      <c r="F16" s="492"/>
      <c r="G16" s="43" t="str">
        <f>IF(Skills!$A81&lt;&gt;"",SUBSTITUTE(VLOOKUP(Skills!$A81,Languages!$A$3:$C$90,3,FALSE),"-1","",1),"")</f>
        <v>8</v>
      </c>
      <c r="H16" s="475" t="str">
        <f>IF(AND(Skills!$A81&lt;&gt;"",G16&lt;&gt;""),Skills!$A81&amp;" "&amp;Skills!$D81,"")</f>
        <v>Common Westron</v>
      </c>
      <c r="K16" s="476" t="str">
        <f>IF(Skills!$A86&lt;&gt;"",SUBSTITUTE(VLOOKUP(Skills!$A86,Languages!$A$3:$C$90,3,FALSE),"-1","",1),"")</f>
        <v/>
      </c>
      <c r="L16" s="475" t="str">
        <f>IF(AND(Skills!$A86&lt;&gt;"",K16&lt;&gt;""),Skills!$A86&amp;" "&amp;Skills!$D86,"")</f>
        <v/>
      </c>
      <c r="O16" s="476" t="str">
        <f>IF(Skills!$A91&lt;&gt;"",SUBSTITUTE(VLOOKUP(Skills!$A91,Languages!$A$3:$C$90,3,FALSE),"-1","",1),"")</f>
        <v/>
      </c>
      <c r="P16" s="475" t="str">
        <f>IF(AND(Skills!$A91&lt;&gt;"",O16&lt;&gt;""),Skills!$A91&amp;" "&amp;Skills!$D91,"")</f>
        <v/>
      </c>
      <c r="R16" s="492"/>
      <c r="U16" s="56" t="s">
        <v>117</v>
      </c>
      <c r="V16" s="57">
        <f>Stats!B4</f>
        <v>15</v>
      </c>
      <c r="W16" s="57">
        <f>Stats!C4</f>
        <v>13</v>
      </c>
      <c r="X16" s="57">
        <f>Stats!D4</f>
        <v>11</v>
      </c>
      <c r="Y16" s="57">
        <f>Stats!E4</f>
        <v>15</v>
      </c>
      <c r="Z16" s="57">
        <f>Stats!F4</f>
        <v>15</v>
      </c>
      <c r="AA16" s="57">
        <f>Stats!G4</f>
        <v>15</v>
      </c>
      <c r="AB16" s="57">
        <f>Stats!I4</f>
        <v>5</v>
      </c>
    </row>
    <row r="17" spans="1:28" s="475" customFormat="1" ht="12" x14ac:dyDescent="0.2">
      <c r="A17" s="491" t="str">
        <f>IF(Skills!$B76&lt;&gt;"",Skills!$B76&amp;IF(AND(Skills!$B76&lt;&gt;Skills!$H76,Skills!$H76&gt;=0)," ("&amp;Skills!$H76&amp;")",""),"")</f>
        <v>0</v>
      </c>
      <c r="B17" s="476">
        <f>IF(Skills!$C76&lt;&gt;"",Skills!$C76,"")</f>
        <v>33</v>
      </c>
      <c r="C17" s="475" t="str">
        <f>IF(Skills!$A76&lt;&gt;"",Skills!$A76,"")</f>
        <v>Flying</v>
      </c>
      <c r="F17" s="492"/>
      <c r="G17" s="491" t="str">
        <f>IF(Skills!$A82&lt;&gt;"",SUBSTITUTE(VLOOKUP(Skills!$A82,Languages!$A$3:$C$90,3,FALSE),"-1","",1),"")</f>
        <v/>
      </c>
      <c r="H17" s="475" t="str">
        <f>IF(AND(Skills!$A82&lt;&gt;"",G17&lt;&gt;""),Skills!$A82&amp;" "&amp;Skills!$D82,"")</f>
        <v/>
      </c>
      <c r="K17" s="476" t="str">
        <f>IF(Skills!$A87&lt;&gt;"",SUBSTITUTE(VLOOKUP(Skills!$A87,Languages!$A$3:$C$90,3,FALSE),"-1","",1),"")</f>
        <v/>
      </c>
      <c r="L17" s="475" t="str">
        <f>IF(AND(Skills!$A87&lt;&gt;"",K17&lt;&gt;""),Skills!$A87&amp;" "&amp;Skills!$D87,"")</f>
        <v/>
      </c>
      <c r="O17" s="476" t="str">
        <f>IF(Skills!$A92&lt;&gt;"",SUBSTITUTE(VLOOKUP(Skills!$A92,Languages!$A$3:$C$90,3,FALSE),"-1","",1),"")</f>
        <v/>
      </c>
      <c r="P17" s="475" t="str">
        <f>IF(AND(Skills!$A92&lt;&gt;"",O17&lt;&gt;""),Skills!$A92&amp;" "&amp;Skills!$D92,"")</f>
        <v/>
      </c>
      <c r="R17" s="492"/>
      <c r="U17" s="59" t="s">
        <v>118</v>
      </c>
      <c r="V17" s="31">
        <f>Stats!B5</f>
        <v>30</v>
      </c>
      <c r="W17" s="31">
        <f>Stats!C5</f>
        <v>26</v>
      </c>
      <c r="X17" s="31">
        <f>Stats!D5</f>
        <v>22</v>
      </c>
      <c r="Y17" s="31">
        <f>Stats!E5</f>
        <v>30</v>
      </c>
      <c r="Z17" s="31">
        <f>Stats!F5</f>
        <v>30</v>
      </c>
      <c r="AA17" s="31">
        <f>Stats!G5</f>
        <v>30</v>
      </c>
      <c r="AB17" s="31">
        <f>Stats!I5</f>
        <v>10</v>
      </c>
    </row>
    <row r="18" spans="1:28" s="475" customFormat="1" ht="12" x14ac:dyDescent="0.2">
      <c r="A18" s="491" t="str">
        <f>IF(Skills!$B77&lt;&gt;"",Skills!$B77&amp;IF(AND(Skills!$B77&lt;&gt;Skills!$H77,Skills!$H77&gt;=0)," ("&amp;Skills!$H77&amp;")",""),"")</f>
        <v>0</v>
      </c>
      <c r="B18" s="476">
        <f>IF(Skills!$C77&lt;&gt;"",Skills!$C77,"")</f>
        <v>13</v>
      </c>
      <c r="C18" s="475" t="str">
        <f>IF(Skills!$A77&lt;&gt;"",Skills!$A77,"")</f>
        <v>Horsemanship</v>
      </c>
      <c r="F18" s="492"/>
      <c r="G18" s="491" t="str">
        <f>IF(Skills!$A83&lt;&gt;"",SUBSTITUTE(VLOOKUP(Skills!$A83,Languages!$A$3:$C$90,3,FALSE),"-1","",1),"")</f>
        <v/>
      </c>
      <c r="H18" s="475" t="str">
        <f>IF(AND(Skills!$A83&lt;&gt;"",G18&lt;&gt;""),Skills!$A83&amp;" "&amp;Skills!$D83,"")</f>
        <v/>
      </c>
      <c r="K18" s="476" t="str">
        <f>IF(Skills!$A88&lt;&gt;"",SUBSTITUTE(VLOOKUP(Skills!$A88,Languages!$A$3:$C$90,3,FALSE),"-1","",1),"")</f>
        <v/>
      </c>
      <c r="L18" s="475" t="str">
        <f>IF(AND(Skills!$A88&lt;&gt;"",K18&lt;&gt;""),Skills!$A88&amp;" "&amp;Skills!$D88,"")</f>
        <v/>
      </c>
      <c r="O18" s="476" t="str">
        <f>IF(Skills!$A93&lt;&gt;"",SUBSTITUTE(VLOOKUP(Skills!$A93,Languages!$A$3:$C$90,3,FALSE),"-1","",1),"")</f>
        <v/>
      </c>
      <c r="P18" s="475" t="str">
        <f>IF(AND(Skills!$A93&lt;&gt;"",O18&lt;&gt;""),Skills!$A93&amp;" "&amp;Skills!$D93,"")</f>
        <v/>
      </c>
      <c r="R18" s="492"/>
      <c r="U18" s="56" t="s">
        <v>119</v>
      </c>
      <c r="V18" s="57">
        <f>Stats!B6</f>
        <v>45</v>
      </c>
      <c r="W18" s="57">
        <f>Stats!C6</f>
        <v>39</v>
      </c>
      <c r="X18" s="57">
        <f>Stats!D6</f>
        <v>33</v>
      </c>
      <c r="Y18" s="57">
        <f>Stats!E6</f>
        <v>45</v>
      </c>
      <c r="Z18" s="57">
        <f>Stats!F6</f>
        <v>45</v>
      </c>
      <c r="AA18" s="57">
        <f>Stats!G6</f>
        <v>45</v>
      </c>
      <c r="AB18" s="57">
        <f>Stats!I6</f>
        <v>15</v>
      </c>
    </row>
    <row r="19" spans="1:28" s="475" customFormat="1" ht="12" x14ac:dyDescent="0.2">
      <c r="A19" s="491" t="str">
        <f>IF(Skills!$B78&lt;&gt;"",Skills!$B78&amp;IF(AND(Skills!$B78&lt;&gt;Skills!$H78,Skills!$H78&gt;=0)," ("&amp;Skills!$H78&amp;")",""),"")</f>
        <v>0</v>
      </c>
      <c r="B19" s="476">
        <f>IF(Skills!$C78&lt;&gt;"",Skills!$C78,"")</f>
        <v>33</v>
      </c>
      <c r="C19" s="475" t="str">
        <f>IF(Skills!$A78&lt;&gt;"",Skills!$A78,"")</f>
        <v>Stealth</v>
      </c>
      <c r="F19" s="492"/>
      <c r="G19" s="491" t="str">
        <f>IF(Skills!$A84&lt;&gt;"",SUBSTITUTE(VLOOKUP(Skills!$A84,Languages!$A$3:$C$90,3,FALSE),"-1","",1),"")</f>
        <v/>
      </c>
      <c r="H19" s="475" t="str">
        <f>IF(AND(Skills!$A84&lt;&gt;"",G19&lt;&gt;""),Skills!$A84&amp;" "&amp;Skills!$D84,"")</f>
        <v/>
      </c>
      <c r="K19" s="476" t="str">
        <f>IF(Skills!$A89&lt;&gt;"",SUBSTITUTE(VLOOKUP(Skills!$A89,Languages!$A$3:$C$90,3,FALSE),"-1","",1),"")</f>
        <v/>
      </c>
      <c r="L19" s="475" t="str">
        <f>IF(AND(Skills!$A89&lt;&gt;"",K19&lt;&gt;""),Skills!$A89&amp;" "&amp;Skills!$D89,"")</f>
        <v/>
      </c>
      <c r="O19" s="476" t="str">
        <f>IF(Skills!$A94&lt;&gt;"",SUBSTITUTE(VLOOKUP(Skills!$A94,Languages!$A$3:$C$90,3,FALSE),"-1","",1),"")</f>
        <v/>
      </c>
      <c r="P19" s="475" t="str">
        <f>IF(AND(Skills!$A94&lt;&gt;"",O19&lt;&gt;""),Skills!$A94&amp;" "&amp;Skills!$D94,"")</f>
        <v/>
      </c>
      <c r="R19" s="492"/>
      <c r="U19" s="59" t="s">
        <v>120</v>
      </c>
      <c r="V19" s="31">
        <f>Stats!B7</f>
        <v>60</v>
      </c>
      <c r="W19" s="31">
        <f>Stats!C7</f>
        <v>52</v>
      </c>
      <c r="X19" s="31">
        <f>Stats!D7</f>
        <v>44</v>
      </c>
      <c r="Y19" s="31">
        <f>Stats!E7</f>
        <v>60</v>
      </c>
      <c r="Z19" s="31">
        <f>Stats!F7</f>
        <v>60</v>
      </c>
      <c r="AA19" s="31">
        <f>Stats!G7</f>
        <v>60</v>
      </c>
      <c r="AB19" s="31">
        <f>Stats!I7</f>
        <v>20</v>
      </c>
    </row>
    <row r="20" spans="1:28" s="475" customFormat="1" ht="12" x14ac:dyDescent="0.2">
      <c r="A20" s="493" t="str">
        <f>IF(Skills!$B79&lt;&gt;"",Skills!$B79&amp;IF(AND(Skills!$B79&lt;&gt;Skills!$H79,Skills!$H79&gt;=0)," ("&amp;Skills!$H79&amp;")",""),"")</f>
        <v>0</v>
      </c>
      <c r="B20" s="494">
        <f>IF(Skills!$C79&lt;&gt;"",Skills!$C79,"")</f>
        <v>16</v>
      </c>
      <c r="C20" s="495" t="str">
        <f>IF(Skills!$A79&lt;&gt;"",Skills!$A79,"")</f>
        <v>Swimming</v>
      </c>
      <c r="D20" s="495"/>
      <c r="E20" s="495"/>
      <c r="F20" s="496"/>
      <c r="G20" s="493" t="str">
        <f>IF(Skills!$A85&lt;&gt;"",SUBSTITUTE(VLOOKUP(Skills!$A85,Languages!$A$3:$C$90,3,FALSE),"-1","",1),"")</f>
        <v/>
      </c>
      <c r="H20" s="495" t="str">
        <f>IF(AND(Skills!$A85&lt;&gt;"",G20&lt;&gt;""),Skills!$A85&amp;" "&amp;Skills!$D85,"")</f>
        <v/>
      </c>
      <c r="I20" s="495"/>
      <c r="J20" s="495"/>
      <c r="K20" s="494" t="str">
        <f>IF(Skills!$A90&lt;&gt;"",SUBSTITUTE(VLOOKUP(Skills!$A90,Languages!$A$3:$C$90,3,FALSE),"-1","",1),"")</f>
        <v/>
      </c>
      <c r="L20" s="495" t="str">
        <f>IF(AND(Skills!$A90&lt;&gt;"",K20&lt;&gt;""),Skills!$A90&amp;" "&amp;Skills!$D90,"")</f>
        <v/>
      </c>
      <c r="M20" s="495"/>
      <c r="N20" s="495"/>
      <c r="O20" s="494" t="str">
        <f>IF(Skills!$A95&lt;&gt;"",SUBSTITUTE(VLOOKUP(Skills!$A95,Languages!$A$3:$C$90,3,FALSE),"-1","",1),"")</f>
        <v/>
      </c>
      <c r="P20" s="495" t="str">
        <f>IF(AND(Skills!$A95&lt;&gt;"",O20&lt;&gt;""),Skills!$A95&amp;" "&amp;Skills!$D95,"")</f>
        <v/>
      </c>
      <c r="Q20" s="495"/>
      <c r="R20" s="496"/>
      <c r="U20" s="56" t="s">
        <v>319</v>
      </c>
      <c r="V20" s="57">
        <f>Stats!B8</f>
        <v>75</v>
      </c>
      <c r="W20" s="57">
        <f>Stats!C8</f>
        <v>65</v>
      </c>
      <c r="X20" s="57">
        <f>Stats!D8</f>
        <v>55</v>
      </c>
      <c r="Y20" s="57">
        <f>Stats!E8</f>
        <v>75</v>
      </c>
      <c r="Z20" s="57">
        <f>Stats!F8</f>
        <v>75</v>
      </c>
      <c r="AA20" s="57">
        <f>Stats!G8</f>
        <v>75</v>
      </c>
      <c r="AB20" s="57">
        <f>Stats!I8</f>
        <v>25</v>
      </c>
    </row>
    <row r="21" spans="1:28" x14ac:dyDescent="0.2">
      <c r="A21" s="488" t="str">
        <f>Skills!$B$1</f>
        <v>Rk</v>
      </c>
      <c r="B21" s="465" t="str">
        <f>Skills!$A$1</f>
        <v>Skill</v>
      </c>
      <c r="C21" s="465"/>
      <c r="D21" s="465"/>
      <c r="E21" s="465"/>
      <c r="F21" s="497"/>
      <c r="G21" s="488" t="str">
        <f>Skills!$B$1</f>
        <v>Rk</v>
      </c>
      <c r="H21" s="465" t="str">
        <f>Skills!$A$1</f>
        <v>Skill</v>
      </c>
      <c r="I21" s="489"/>
      <c r="J21" s="489"/>
      <c r="K21" s="489"/>
      <c r="L21" s="490"/>
      <c r="M21" s="488" t="str">
        <f>Skills!$B$1</f>
        <v>Rk</v>
      </c>
      <c r="N21" s="465" t="s">
        <v>1462</v>
      </c>
      <c r="O21" s="489"/>
      <c r="P21" s="489"/>
      <c r="Q21" s="489"/>
      <c r="R21" s="490"/>
    </row>
    <row r="22" spans="1:28" s="475" customFormat="1" ht="12" x14ac:dyDescent="0.2">
      <c r="A22" s="491" t="str">
        <f>IF(B22&gt;"",VLOOKUP(B22,Skills!$A$2:$B$206,2,FALSE),"")</f>
        <v>Un</v>
      </c>
      <c r="B22" s="475" t="s">
        <v>593</v>
      </c>
      <c r="F22" s="492"/>
      <c r="G22" s="491" t="str">
        <f>IF(H22&gt;"",VLOOKUP(H22,Skills!$A$2:$B$206,2,FALSE),"")</f>
        <v>Un</v>
      </c>
      <c r="H22" s="475" t="s">
        <v>317</v>
      </c>
      <c r="L22" s="492"/>
      <c r="M22" s="491" t="str">
        <f>IF(N22&gt;"",VLOOKUP(N22,Skills!$A$2:$B$206,2,FALSE),"")</f>
        <v/>
      </c>
      <c r="N22" s="475" t="str">
        <f>IF(Skills!$H63&gt;=0,Skills!$A63,"")</f>
        <v/>
      </c>
      <c r="R22" s="492"/>
    </row>
    <row r="23" spans="1:28" s="475" customFormat="1" ht="12" x14ac:dyDescent="0.2">
      <c r="A23" s="491" t="str">
        <f>IF(B23&gt;"",VLOOKUP(B23,Skills!$A$2:$B$206,2,FALSE),"")</f>
        <v>Un</v>
      </c>
      <c r="B23" s="475" t="s">
        <v>594</v>
      </c>
      <c r="F23" s="492"/>
      <c r="G23" s="491" t="str">
        <f>IF(H23&gt;"",VLOOKUP(H23,Skills!$A$2:$B$206,2,FALSE),"")</f>
        <v>Un</v>
      </c>
      <c r="H23" s="475" t="s">
        <v>601</v>
      </c>
      <c r="L23" s="492"/>
      <c r="M23" s="491" t="str">
        <f>IF(N23&gt;"",VLOOKUP(N23,Skills!$A$2:$B$206,2,FALSE),"")</f>
        <v/>
      </c>
      <c r="N23" s="475" t="str">
        <f>IF(Skills!$H64&gt;=0,Skills!$A64,"")</f>
        <v/>
      </c>
      <c r="R23" s="492"/>
    </row>
    <row r="24" spans="1:28" s="475" customFormat="1" ht="12" x14ac:dyDescent="0.2">
      <c r="A24" s="491" t="str">
        <f>IF(B24&gt;"",VLOOKUP(B24,Skills!$A$2:$B$206,2,FALSE),"")</f>
        <v>Un</v>
      </c>
      <c r="B24" s="475" t="s">
        <v>365</v>
      </c>
      <c r="F24" s="492"/>
      <c r="G24" s="491" t="str">
        <f>IF(H24&gt;"",VLOOKUP(H24,Skills!$A$2:$B$206,2,FALSE),"")</f>
        <v>Un</v>
      </c>
      <c r="H24" s="475" t="s">
        <v>318</v>
      </c>
      <c r="L24" s="492"/>
      <c r="M24" s="491" t="str">
        <f>IF(N24&gt;"",VLOOKUP(N24,Skills!$A$2:$B$206,2,FALSE),"")</f>
        <v/>
      </c>
      <c r="N24" s="475" t="str">
        <f>IF(Skills!$H65&gt;=0,Skills!$A65,"")</f>
        <v/>
      </c>
      <c r="R24" s="492"/>
    </row>
    <row r="25" spans="1:28" s="475" customFormat="1" ht="12" x14ac:dyDescent="0.2">
      <c r="A25" s="491" t="str">
        <f>IF(B25&gt;"",VLOOKUP(B25,Skills!$A$2:$B$206,2,FALSE),"")</f>
        <v>Un</v>
      </c>
      <c r="B25" s="475" t="s">
        <v>596</v>
      </c>
      <c r="F25" s="492"/>
      <c r="G25" s="491" t="str">
        <f>IF(H25&gt;"",VLOOKUP(H25,Skills!$A$2:$B$206,2,FALSE),"")</f>
        <v>Un</v>
      </c>
      <c r="H25" s="475" t="s">
        <v>159</v>
      </c>
      <c r="L25" s="492"/>
      <c r="M25" s="491" t="str">
        <f>IF(N25&gt;"",VLOOKUP(N25,Skills!$A$2:$B$206,2,FALSE),"")</f>
        <v/>
      </c>
      <c r="N25" s="475" t="str">
        <f>IF(Skills!$H66&gt;=0,Skills!$A66,"")</f>
        <v/>
      </c>
      <c r="R25" s="492"/>
    </row>
    <row r="26" spans="1:28" s="475" customFormat="1" ht="12" x14ac:dyDescent="0.2">
      <c r="A26" s="491" t="str">
        <f>IF(B26&gt;"",VLOOKUP(B26,Skills!$A$2:$B$206,2,FALSE),"")</f>
        <v>Un</v>
      </c>
      <c r="B26" s="475" t="s">
        <v>597</v>
      </c>
      <c r="F26" s="492"/>
      <c r="G26" s="491" t="str">
        <f>IF(H26&gt;"",VLOOKUP(H26,Skills!$A$2:$B$206,2,FALSE),"")</f>
        <v>Un</v>
      </c>
      <c r="H26" s="475" t="s">
        <v>162</v>
      </c>
      <c r="L26" s="492"/>
      <c r="M26" s="491" t="str">
        <f>IF(N26&gt;"",VLOOKUP(N26,Skills!$A$2:$B$206,2,FALSE),"")</f>
        <v/>
      </c>
      <c r="N26" s="475" t="str">
        <f>IF(Skills!$H67&gt;=0,Skills!$A67,"")</f>
        <v/>
      </c>
      <c r="R26" s="492"/>
    </row>
    <row r="27" spans="1:28" s="475" customFormat="1" ht="12" x14ac:dyDescent="0.2">
      <c r="A27" s="491" t="str">
        <f>IF(B27&gt;"",VLOOKUP(B27,Skills!$A$2:$B$206,2,FALSE),"")</f>
        <v>Un</v>
      </c>
      <c r="B27" s="475" t="s">
        <v>160</v>
      </c>
      <c r="F27" s="492"/>
      <c r="G27" s="491" t="str">
        <f>IF(H27&gt;"",VLOOKUP(H27,Skills!$A$2:$B$206,2,FALSE),"")</f>
        <v>Un</v>
      </c>
      <c r="H27" s="475" t="s">
        <v>161</v>
      </c>
      <c r="L27" s="492"/>
      <c r="M27" s="491" t="str">
        <f>IF(N27&gt;"",VLOOKUP(N27,Skills!$A$2:$B$206,2,FALSE),"")</f>
        <v/>
      </c>
      <c r="N27" s="475" t="str">
        <f>IF(Skills!$H68&gt;=0,Skills!$A68,"")</f>
        <v/>
      </c>
      <c r="R27" s="492"/>
    </row>
    <row r="28" spans="1:28" s="475" customFormat="1" ht="12" x14ac:dyDescent="0.2">
      <c r="A28" s="491" t="str">
        <f>IF(B28&gt;"",VLOOKUP(B28,Skills!$A$2:$B$206,2,FALSE),"")</f>
        <v>Un</v>
      </c>
      <c r="B28" s="475" t="s">
        <v>591</v>
      </c>
      <c r="F28" s="492"/>
      <c r="G28" s="491" t="str">
        <f>IF(H28&gt;"",VLOOKUP(H28,Skills!$A$2:$B$206,2,FALSE),"")</f>
        <v>Un</v>
      </c>
      <c r="H28" s="475" t="s">
        <v>1916</v>
      </c>
      <c r="L28" s="492"/>
      <c r="M28" s="491" t="str">
        <f>IF(N28&gt;"",VLOOKUP(N28,Skills!$A$2:$B$206,2,FALSE),"")</f>
        <v/>
      </c>
      <c r="N28" s="475" t="str">
        <f>IF(Skills!$H69&gt;=0,Skills!$A69,"")</f>
        <v/>
      </c>
      <c r="R28" s="492"/>
    </row>
    <row r="29" spans="1:28" s="475" customFormat="1" ht="12" x14ac:dyDescent="0.2">
      <c r="A29" s="491" t="str">
        <f>IF(B29&gt;"",VLOOKUP(B29,Skills!$A$2:$B$206,2,FALSE),"")</f>
        <v>Un</v>
      </c>
      <c r="B29" s="475" t="s">
        <v>324</v>
      </c>
      <c r="F29" s="492"/>
      <c r="G29" s="491" t="str">
        <f>IF(H29&gt;"",VLOOKUP(H29,Skills!$A$2:$B$206,2,FALSE),"")</f>
        <v>Un</v>
      </c>
      <c r="H29" s="475" t="s">
        <v>158</v>
      </c>
      <c r="L29" s="492"/>
      <c r="M29" s="491" t="str">
        <f>IF(N29&gt;"",VLOOKUP(N29,Skills!$A$2:$B$206,2,FALSE),"")</f>
        <v/>
      </c>
      <c r="N29" s="475" t="str">
        <f>IF(Skills!$H70&gt;=0,Skills!$A70,"")</f>
        <v/>
      </c>
      <c r="R29" s="492"/>
    </row>
    <row r="30" spans="1:28" s="475" customFormat="1" ht="12" x14ac:dyDescent="0.2">
      <c r="A30" s="491" t="str">
        <f>IF(B30&gt;"",VLOOKUP(B30,Skills!$A$2:$B$206,2,FALSE),"")</f>
        <v>Un</v>
      </c>
      <c r="B30" s="475" t="s">
        <v>599</v>
      </c>
      <c r="F30" s="492"/>
      <c r="G30" s="491" t="str">
        <f>IF(H30&gt;"",VLOOKUP(H30,Skills!$A$2:$B$206,2,FALSE),"")</f>
        <v>Un</v>
      </c>
      <c r="H30" s="475" t="s">
        <v>602</v>
      </c>
      <c r="L30" s="492"/>
      <c r="M30" s="491" t="str">
        <f>IF(N30&gt;"",VLOOKUP(N30,Skills!$A$2:$B$206,2,FALSE),"")</f>
        <v/>
      </c>
      <c r="N30" s="475" t="str">
        <f>IF(Skills!$H71&gt;=0,Skills!$A71,"")</f>
        <v/>
      </c>
      <c r="R30" s="492"/>
    </row>
    <row r="31" spans="1:28" s="475" customFormat="1" ht="12" x14ac:dyDescent="0.2">
      <c r="A31" s="493" t="str">
        <f>IF(B31&gt;"",VLOOKUP(B31,Skills!$A$2:$B$206,2,FALSE),"")</f>
        <v>Un</v>
      </c>
      <c r="B31" s="495" t="s">
        <v>600</v>
      </c>
      <c r="C31" s="495"/>
      <c r="D31" s="495"/>
      <c r="E31" s="495"/>
      <c r="F31" s="496"/>
      <c r="G31" s="493" t="str">
        <f>IF(H31&gt;"",VLOOKUP(H31,Skills!$A$2:$B$206,2,FALSE),"")</f>
        <v/>
      </c>
      <c r="H31" s="495"/>
      <c r="I31" s="495"/>
      <c r="J31" s="495"/>
      <c r="K31" s="495"/>
      <c r="L31" s="496"/>
      <c r="M31" s="493" t="str">
        <f>IF(N31&gt;"",VLOOKUP(N31,Skills!$A$2:$B$206,2,FALSE),"")</f>
        <v/>
      </c>
      <c r="N31" s="495" t="str">
        <f>IF(Skills!$H72&gt;=0,Skills!$A72,"")</f>
        <v/>
      </c>
      <c r="O31" s="495"/>
      <c r="P31" s="495"/>
      <c r="Q31" s="495"/>
      <c r="R31" s="496"/>
    </row>
    <row r="32" spans="1:28" ht="3" customHeight="1" x14ac:dyDescent="0.2">
      <c r="A32" s="80"/>
      <c r="B32" s="79"/>
      <c r="C32" s="79"/>
      <c r="D32" s="79"/>
      <c r="E32" s="79"/>
      <c r="F32" s="79"/>
      <c r="G32" s="498"/>
      <c r="H32" s="498"/>
      <c r="I32" s="498"/>
      <c r="J32" s="498"/>
      <c r="K32" s="498"/>
      <c r="L32" s="498"/>
      <c r="M32" s="498"/>
      <c r="N32" s="499"/>
      <c r="O32" s="499"/>
      <c r="P32" s="499"/>
    </row>
    <row r="33" spans="1:18" x14ac:dyDescent="0.2">
      <c r="A33" s="190" t="s">
        <v>149</v>
      </c>
      <c r="B33" s="500" t="str">
        <f>Magic!$B$67</f>
        <v>Namer (Thaumaturgy)</v>
      </c>
      <c r="C33" s="190"/>
      <c r="D33" s="190"/>
      <c r="E33" s="190"/>
      <c r="F33" s="190"/>
      <c r="G33" s="190" t="s">
        <v>231</v>
      </c>
      <c r="H33" s="190" t="s">
        <v>265</v>
      </c>
      <c r="I33" s="190" t="s">
        <v>266</v>
      </c>
      <c r="J33" s="793" t="s">
        <v>2</v>
      </c>
      <c r="K33" s="793"/>
      <c r="L33" s="793" t="s">
        <v>232</v>
      </c>
      <c r="M33" s="793"/>
      <c r="N33" s="190" t="s">
        <v>234</v>
      </c>
      <c r="O33" s="190"/>
      <c r="P33" s="190"/>
      <c r="Q33" s="190"/>
      <c r="R33" s="190"/>
    </row>
    <row r="34" spans="1:18" x14ac:dyDescent="0.2">
      <c r="A34" s="80">
        <f>Magic!$C68</f>
        <v>0</v>
      </c>
      <c r="B34" s="79" t="str">
        <f>Magic!$A68&amp;". "&amp;Magic!$B68</f>
        <v>T1. Detect Aura</v>
      </c>
      <c r="C34" s="79"/>
      <c r="D34" s="79"/>
      <c r="E34" s="79"/>
      <c r="F34" s="79"/>
      <c r="G34" s="498">
        <f>Magic!$D68</f>
        <v>10</v>
      </c>
      <c r="H34" s="498">
        <f>Magic!$E68</f>
        <v>1.5</v>
      </c>
      <c r="I34" s="498">
        <f>Magic!$F68</f>
        <v>0.5</v>
      </c>
      <c r="J34" s="814" t="str">
        <f>Magic!$G68</f>
        <v>-1 per foot</v>
      </c>
      <c r="K34" s="814"/>
      <c r="L34" s="814" t="str">
        <f>Magic!$H68</f>
        <v>Immediate</v>
      </c>
      <c r="M34" s="814"/>
      <c r="N34" s="499">
        <f>Magic!$I68</f>
        <v>0</v>
      </c>
      <c r="O34" s="499"/>
      <c r="P34" s="499"/>
    </row>
    <row r="35" spans="1:18" x14ac:dyDescent="0.2">
      <c r="A35" s="80">
        <f>Magic!$C69</f>
        <v>0</v>
      </c>
      <c r="B35" s="79" t="str">
        <f>Magic!$A69&amp;". "&amp;Magic!$B69</f>
        <v>T2. Expel Magic</v>
      </c>
      <c r="C35" s="79"/>
      <c r="D35" s="79"/>
      <c r="E35" s="79"/>
      <c r="F35" s="79"/>
      <c r="G35" s="498">
        <f>Magic!$D69</f>
        <v>5</v>
      </c>
      <c r="H35" s="498">
        <f>Magic!$E69</f>
        <v>0.75</v>
      </c>
      <c r="I35" s="498">
        <f>Magic!$F69</f>
        <v>0.25</v>
      </c>
      <c r="J35" s="814">
        <f>Magic!$G69</f>
        <v>0</v>
      </c>
      <c r="K35" s="814"/>
      <c r="L35" s="814" t="str">
        <f>Magic!$H69</f>
        <v>Immediate</v>
      </c>
      <c r="M35" s="814"/>
      <c r="N35" s="499" t="str">
        <f>Magic!$I69</f>
        <v>50% -3/Rk of Target Magic</v>
      </c>
      <c r="O35" s="499"/>
      <c r="P35" s="499"/>
    </row>
    <row r="36" spans="1:18" x14ac:dyDescent="0.2">
      <c r="A36" s="80">
        <f>Magic!$C70</f>
        <v>0</v>
      </c>
      <c r="B36" s="79" t="str">
        <f>Magic!$A70&amp;". "&amp;Magic!$B70</f>
        <v>Q1. Dissipation</v>
      </c>
      <c r="C36" s="79"/>
      <c r="D36" s="79"/>
      <c r="E36" s="79"/>
      <c r="F36" s="79"/>
      <c r="G36" s="498">
        <f>Magic!$D70</f>
        <v>50</v>
      </c>
      <c r="H36" s="498">
        <f>Magic!$E70</f>
        <v>7.5</v>
      </c>
      <c r="I36" s="498">
        <f>Magic!$F70</f>
        <v>2.5</v>
      </c>
      <c r="J36" s="814">
        <f>Magic!$G70</f>
        <v>0</v>
      </c>
      <c r="K36" s="814"/>
      <c r="L36" s="814">
        <f>Magic!$H70</f>
        <v>0</v>
      </c>
      <c r="M36" s="814"/>
      <c r="N36" s="499">
        <f>Magic!$I70</f>
        <v>0</v>
      </c>
      <c r="O36" s="499"/>
      <c r="P36" s="499"/>
    </row>
    <row r="37" spans="1:18" x14ac:dyDescent="0.2">
      <c r="A37" s="80">
        <f>Magic!$C71</f>
        <v>0</v>
      </c>
      <c r="B37" s="79" t="str">
        <f>Magic!$A71&amp;". "&amp;Magic!$B71</f>
        <v>Q2. Purification</v>
      </c>
      <c r="C37" s="79"/>
      <c r="D37" s="79"/>
      <c r="E37" s="79"/>
      <c r="F37" s="79"/>
      <c r="G37" s="498">
        <f>Magic!$D71</f>
        <v>30</v>
      </c>
      <c r="H37" s="498">
        <f>Magic!$E71</f>
        <v>4.5</v>
      </c>
      <c r="I37" s="498">
        <f>Magic!$F71</f>
        <v>1.5</v>
      </c>
      <c r="J37" s="814">
        <f>Magic!$G71</f>
        <v>0</v>
      </c>
      <c r="K37" s="814"/>
      <c r="L37" s="814" t="str">
        <f>Magic!$H71</f>
        <v>4 Hours</v>
      </c>
      <c r="M37" s="814"/>
      <c r="N37" s="499" t="str">
        <f>Magic!$I71</f>
        <v>+ 0 MR. +0 MA.</v>
      </c>
      <c r="O37" s="499"/>
      <c r="P37" s="499"/>
    </row>
    <row r="38" spans="1:18" x14ac:dyDescent="0.2">
      <c r="A38" s="80" t="str">
        <f>Magic!$C72</f>
        <v>Un</v>
      </c>
      <c r="B38" s="79" t="str">
        <f>Magic!$A72&amp;". "&amp;Magic!$B72</f>
        <v>S1. Bane</v>
      </c>
      <c r="C38" s="79"/>
      <c r="D38" s="79"/>
      <c r="E38" s="79"/>
      <c r="F38" s="79"/>
      <c r="G38" s="498">
        <f>Magic!$D72</f>
        <v>27</v>
      </c>
      <c r="H38" s="498">
        <f>Magic!$E72</f>
        <v>4.05</v>
      </c>
      <c r="I38" s="498">
        <f>Magic!$F72</f>
        <v>1.35</v>
      </c>
      <c r="J38" s="814" t="str">
        <f>Magic!$G72</f>
        <v>0 Feet</v>
      </c>
      <c r="K38" s="814"/>
      <c r="L38" s="814" t="str">
        <f>Magic!$H72</f>
        <v>25 Secs</v>
      </c>
      <c r="M38" s="814"/>
      <c r="N38" s="499" t="str">
        <f>Magic!$I72</f>
        <v>-2% Cast Chance in 15' diameter.</v>
      </c>
      <c r="O38" s="499"/>
      <c r="P38" s="499"/>
    </row>
    <row r="39" spans="1:18" x14ac:dyDescent="0.2">
      <c r="A39" s="80" t="str">
        <f>Magic!$C73</f>
        <v>Un</v>
      </c>
      <c r="B39" s="79" t="str">
        <f>Magic!$A73&amp;". "&amp;Magic!$B73</f>
        <v>S2. Banishment</v>
      </c>
      <c r="C39" s="79"/>
      <c r="D39" s="79"/>
      <c r="E39" s="79"/>
      <c r="F39" s="79"/>
      <c r="G39" s="498">
        <f>Magic!$D73</f>
        <v>17</v>
      </c>
      <c r="H39" s="498">
        <f>Magic!$E73</f>
        <v>2.5499999999999998</v>
      </c>
      <c r="I39" s="498">
        <f>Magic!$F73</f>
        <v>0.85000000000000009</v>
      </c>
      <c r="J39" s="814" t="str">
        <f>Magic!$G73</f>
        <v>Self</v>
      </c>
      <c r="K39" s="814"/>
      <c r="L39" s="814" t="str">
        <f>Magic!$H73</f>
        <v>0 Secs</v>
      </c>
      <c r="M39" s="814"/>
      <c r="N39" s="499">
        <f>Magic!$I73</f>
        <v>0</v>
      </c>
      <c r="O39" s="499"/>
      <c r="P39" s="499"/>
    </row>
    <row r="40" spans="1:18" x14ac:dyDescent="0.2">
      <c r="A40" s="80" t="str">
        <f>Magic!$C74</f>
        <v>Un</v>
      </c>
      <c r="B40" s="79" t="str">
        <f>Magic!$A74&amp;". "&amp;Magic!$B74</f>
        <v>S3. Compel Obedience</v>
      </c>
      <c r="C40" s="79"/>
      <c r="D40" s="79"/>
      <c r="E40" s="79"/>
      <c r="F40" s="79"/>
      <c r="G40" s="498">
        <f>Magic!$D74</f>
        <v>47</v>
      </c>
      <c r="H40" s="498">
        <f>Magic!$E74</f>
        <v>7.05</v>
      </c>
      <c r="I40" s="498">
        <f>Magic!$F74</f>
        <v>2.35</v>
      </c>
      <c r="J40" s="814" t="str">
        <f>Magic!$G74</f>
        <v>10 Feet</v>
      </c>
      <c r="K40" s="814"/>
      <c r="L40" s="814" t="str">
        <f>Magic!$H74</f>
        <v>0 Mins</v>
      </c>
      <c r="M40" s="814"/>
      <c r="N40" s="499" t="str">
        <f>Magic!$I74</f>
        <v>1 Targets</v>
      </c>
      <c r="O40" s="499"/>
      <c r="P40" s="499"/>
    </row>
    <row r="41" spans="1:18" x14ac:dyDescent="0.2">
      <c r="A41" s="80" t="str">
        <f>Magic!$C75</f>
        <v>Un</v>
      </c>
      <c r="B41" s="79" t="str">
        <f>Magic!$A75&amp;". "&amp;Magic!$B75</f>
        <v>S4. Disjunction</v>
      </c>
      <c r="C41" s="79"/>
      <c r="D41" s="79"/>
      <c r="E41" s="79"/>
      <c r="F41" s="79"/>
      <c r="G41" s="498">
        <f>Magic!$D75</f>
        <v>37</v>
      </c>
      <c r="H41" s="498">
        <f>Magic!$E75</f>
        <v>5.55</v>
      </c>
      <c r="I41" s="498">
        <f>Magic!$F75</f>
        <v>1.85</v>
      </c>
      <c r="J41" s="814" t="str">
        <f>Magic!$G75</f>
        <v>0 Feet</v>
      </c>
      <c r="K41" s="814"/>
      <c r="L41" s="814" t="str">
        <f>Magic!$H75</f>
        <v>0 Mins</v>
      </c>
      <c r="M41" s="814"/>
      <c r="N41" s="499">
        <f>Magic!$I75</f>
        <v>0</v>
      </c>
      <c r="O41" s="499"/>
      <c r="P41" s="499"/>
    </row>
    <row r="42" spans="1:18" x14ac:dyDescent="0.2">
      <c r="A42" s="80" t="str">
        <f>Magic!$C76</f>
        <v>Un</v>
      </c>
      <c r="B42" s="79" t="str">
        <f>Magic!$A76&amp;". "&amp;Magic!$B76</f>
        <v>S5. Dispel Magic</v>
      </c>
      <c r="C42" s="79"/>
      <c r="D42" s="79"/>
      <c r="E42" s="79"/>
      <c r="F42" s="79"/>
      <c r="G42" s="498">
        <f>Magic!$D76</f>
        <v>27</v>
      </c>
      <c r="H42" s="498">
        <f>Magic!$E76</f>
        <v>4.05</v>
      </c>
      <c r="I42" s="498">
        <f>Magic!$F76</f>
        <v>1.35</v>
      </c>
      <c r="J42" s="814" t="str">
        <f>Magic!$G76</f>
        <v>Self</v>
      </c>
      <c r="K42" s="814"/>
      <c r="L42" s="814" t="str">
        <f>Magic!$H76</f>
        <v>5 Secs</v>
      </c>
      <c r="M42" s="814"/>
      <c r="N42" s="499" t="str">
        <f>Magic!$I76</f>
        <v>47% -3/Rk of Target Magic</v>
      </c>
      <c r="O42" s="499"/>
      <c r="P42" s="499"/>
    </row>
    <row r="43" spans="1:18" x14ac:dyDescent="0.2">
      <c r="A43" s="80" t="str">
        <f>Magic!$C77</f>
        <v>Un</v>
      </c>
      <c r="B43" s="79" t="str">
        <f>Magic!$A77&amp;". "&amp;Magic!$B77</f>
        <v>S6. Forbidding</v>
      </c>
      <c r="C43" s="79"/>
      <c r="D43" s="79"/>
      <c r="E43" s="79"/>
      <c r="F43" s="79"/>
      <c r="G43" s="498">
        <f>Magic!$D77</f>
        <v>32</v>
      </c>
      <c r="H43" s="498">
        <f>Magic!$E77</f>
        <v>4.8</v>
      </c>
      <c r="I43" s="498">
        <f>Magic!$F77</f>
        <v>1.6</v>
      </c>
      <c r="J43" s="814" t="str">
        <f>Magic!$G77</f>
        <v>0 Feet</v>
      </c>
      <c r="K43" s="814"/>
      <c r="L43" s="814" t="str">
        <f>Magic!$H77</f>
        <v>0 Mins</v>
      </c>
      <c r="M43" s="814"/>
      <c r="N43" s="499" t="str">
        <f>Magic!$I77</f>
        <v>Wall 10'x20' +-1' GTN or ITN (D-4+-1)</v>
      </c>
      <c r="O43" s="499"/>
      <c r="P43" s="499"/>
    </row>
    <row r="44" spans="1:18" x14ac:dyDescent="0.2">
      <c r="A44" s="80" t="str">
        <f>Magic!$C78</f>
        <v>Un</v>
      </c>
      <c r="B44" s="79" t="str">
        <f>Magic!$A78&amp;". "&amp;Magic!$B78</f>
        <v>S7. Mana Sense</v>
      </c>
      <c r="C44" s="79"/>
      <c r="D44" s="79"/>
      <c r="E44" s="79"/>
      <c r="F44" s="79"/>
      <c r="G44" s="498">
        <f>Magic!$D78</f>
        <v>37</v>
      </c>
      <c r="H44" s="498">
        <f>Magic!$E78</f>
        <v>5.55</v>
      </c>
      <c r="I44" s="498">
        <f>Magic!$F78</f>
        <v>1.85</v>
      </c>
      <c r="J44" s="814" t="str">
        <f>Magic!$G78</f>
        <v>Self</v>
      </c>
      <c r="K44" s="814"/>
      <c r="L44" s="814" t="str">
        <f>Magic!$H78</f>
        <v>0 Mins</v>
      </c>
      <c r="M44" s="814"/>
      <c r="N44" s="499" t="str">
        <f>Magic!$I78</f>
        <v>0' Conc. see Prep/Res. 2xPC for detail.</v>
      </c>
      <c r="O44" s="499"/>
      <c r="P44" s="499"/>
    </row>
    <row r="45" spans="1:18" x14ac:dyDescent="0.2">
      <c r="A45" s="80" t="str">
        <f>Magic!$C79</f>
        <v>Un</v>
      </c>
      <c r="B45" s="79" t="str">
        <f>Magic!$A79&amp;". "&amp;Magic!$B79</f>
        <v>S8. Scry Shield</v>
      </c>
      <c r="C45" s="79"/>
      <c r="D45" s="79"/>
      <c r="E45" s="79"/>
      <c r="F45" s="79"/>
      <c r="G45" s="498">
        <f>Magic!$D79</f>
        <v>37</v>
      </c>
      <c r="H45" s="498">
        <f>Magic!$E79</f>
        <v>5.55</v>
      </c>
      <c r="I45" s="498">
        <f>Magic!$F79</f>
        <v>1.85</v>
      </c>
      <c r="J45" s="814" t="str">
        <f>Magic!$G79</f>
        <v>5 Feet</v>
      </c>
      <c r="K45" s="814"/>
      <c r="L45" s="814" t="str">
        <f>Magic!$H79</f>
        <v>0 Mins</v>
      </c>
      <c r="M45" s="814"/>
      <c r="N45" s="499" t="str">
        <f>Magic!$I79</f>
        <v>10 hr ritual for 3 weeks duration.</v>
      </c>
      <c r="O45" s="499"/>
      <c r="P45" s="499"/>
    </row>
    <row r="46" spans="1:18" x14ac:dyDescent="0.2">
      <c r="A46" s="80" t="str">
        <f>Magic!$C80</f>
        <v>Un</v>
      </c>
      <c r="B46" s="79" t="str">
        <f>Magic!$A80&amp;". "&amp;Magic!$B80</f>
        <v>S9. Spell Barrier</v>
      </c>
      <c r="C46" s="79"/>
      <c r="D46" s="79"/>
      <c r="E46" s="79"/>
      <c r="F46" s="79"/>
      <c r="G46" s="498">
        <f>Magic!$D80</f>
        <v>37</v>
      </c>
      <c r="H46" s="498">
        <f>Magic!$E80</f>
        <v>5.55</v>
      </c>
      <c r="I46" s="498">
        <f>Magic!$F80</f>
        <v>1.85</v>
      </c>
      <c r="J46" s="814" t="str">
        <f>Magic!$G80</f>
        <v>5 Feet</v>
      </c>
      <c r="K46" s="814"/>
      <c r="L46" s="814" t="str">
        <f>Magic!$H80</f>
        <v>0 Mins</v>
      </c>
      <c r="M46" s="814"/>
      <c r="N46" s="499" t="str">
        <f>Magic!$I80</f>
        <v>Wall 10'x20', Ring 10'x5'r +-1' 37% -3/rk</v>
      </c>
      <c r="O46" s="499"/>
      <c r="P46" s="499"/>
    </row>
    <row r="47" spans="1:18" x14ac:dyDescent="0.2">
      <c r="A47" s="80" t="str">
        <f>Magic!$C81</f>
        <v>Un</v>
      </c>
      <c r="B47" s="79" t="str">
        <f>Magic!$A81&amp;". "&amp;Magic!$B81</f>
        <v>S10. True Seeing</v>
      </c>
      <c r="C47" s="79"/>
      <c r="D47" s="79"/>
      <c r="E47" s="79"/>
      <c r="F47" s="79"/>
      <c r="G47" s="498">
        <f>Magic!$D81</f>
        <v>27</v>
      </c>
      <c r="H47" s="498">
        <f>Magic!$E81</f>
        <v>4.05</v>
      </c>
      <c r="I47" s="498">
        <f>Magic!$F81</f>
        <v>1.35</v>
      </c>
      <c r="J47" s="814" t="str">
        <f>Magic!$G81</f>
        <v>5 Feet</v>
      </c>
      <c r="K47" s="814"/>
      <c r="L47" s="814" t="str">
        <f>Magic!$H81</f>
        <v>20 Secs</v>
      </c>
      <c r="M47" s="814"/>
      <c r="N47" s="499" t="str">
        <f>Magic!$I81</f>
        <v>Reveal truth within an area.</v>
      </c>
      <c r="O47" s="499"/>
      <c r="P47" s="499"/>
    </row>
    <row r="48" spans="1:18" x14ac:dyDescent="0.2">
      <c r="A48" s="80" t="str">
        <f>Magic!$C82</f>
        <v>Un</v>
      </c>
      <c r="B48" s="79" t="str">
        <f>Magic!$A82&amp;". "&amp;Magic!$B82</f>
        <v>R1. Divination</v>
      </c>
      <c r="C48" s="79"/>
      <c r="D48" s="79"/>
      <c r="E48" s="79"/>
      <c r="F48" s="79"/>
      <c r="G48" s="498">
        <f>Magic!$D82</f>
        <v>27</v>
      </c>
      <c r="H48" s="498">
        <f>Magic!$E82</f>
        <v>4.05</v>
      </c>
      <c r="I48" s="498">
        <f>Magic!$F82</f>
        <v>1.35</v>
      </c>
      <c r="J48" s="814" t="str">
        <f>Magic!$G82</f>
        <v>4 Feet</v>
      </c>
      <c r="K48" s="814"/>
      <c r="L48" s="814">
        <f>Magic!$H82</f>
        <v>0</v>
      </c>
      <c r="M48" s="814"/>
      <c r="N48" s="499" t="str">
        <f>Magic!$I82</f>
        <v>35% 3 Hrs for Ancient Divination.</v>
      </c>
      <c r="O48" s="499"/>
      <c r="P48" s="499"/>
    </row>
    <row r="49" spans="1:18" x14ac:dyDescent="0.2">
      <c r="A49" s="80" t="str">
        <f>Magic!$C83</f>
        <v>Un</v>
      </c>
      <c r="B49" s="79" t="str">
        <f>Magic!$A83&amp;". "&amp;Magic!$B83</f>
        <v>R2. Expulsion</v>
      </c>
      <c r="C49" s="79"/>
      <c r="D49" s="79"/>
      <c r="E49" s="79"/>
      <c r="F49" s="79"/>
      <c r="G49" s="498">
        <f>Magic!$D83</f>
        <v>27</v>
      </c>
      <c r="H49" s="498">
        <f>Magic!$E83</f>
        <v>4.05</v>
      </c>
      <c r="I49" s="498">
        <f>Magic!$F83</f>
        <v>1.35</v>
      </c>
      <c r="J49" s="814" t="str">
        <f>Magic!$G83</f>
        <v>4 Feet</v>
      </c>
      <c r="K49" s="814"/>
      <c r="L49" s="814" t="str">
        <f>Magic!$H83</f>
        <v>Immediate</v>
      </c>
      <c r="M49" s="814"/>
      <c r="N49" s="499">
        <f>Magic!$I83</f>
        <v>0</v>
      </c>
      <c r="O49" s="499"/>
      <c r="P49" s="499"/>
    </row>
    <row r="50" spans="1:18" x14ac:dyDescent="0.2">
      <c r="A50" s="80" t="str">
        <f>Magic!$C84</f>
        <v>Un</v>
      </c>
      <c r="B50" s="79" t="str">
        <f>Magic!$A84&amp;". "&amp;Magic!$B84</f>
        <v>R3. Interregnum</v>
      </c>
      <c r="C50" s="79"/>
      <c r="D50" s="79"/>
      <c r="E50" s="79"/>
      <c r="F50" s="79"/>
      <c r="G50" s="498">
        <f>Magic!$D84</f>
        <v>32</v>
      </c>
      <c r="H50" s="498">
        <f>Magic!$E84</f>
        <v>4.8</v>
      </c>
      <c r="I50" s="498">
        <f>Magic!$F84</f>
        <v>1.6</v>
      </c>
      <c r="J50" s="814" t="str">
        <f>Magic!$G84</f>
        <v>10 Feet</v>
      </c>
      <c r="K50" s="814"/>
      <c r="L50" s="814" t="str">
        <f>Magic!$H84</f>
        <v>Immediate</v>
      </c>
      <c r="M50" s="814"/>
      <c r="N50" s="499">
        <f>Magic!$I84</f>
        <v>0</v>
      </c>
      <c r="O50" s="499"/>
      <c r="P50" s="499"/>
    </row>
    <row r="51" spans="1:18" x14ac:dyDescent="0.2">
      <c r="A51" s="80" t="str">
        <f>Magic!$C85</f>
        <v>Un</v>
      </c>
      <c r="B51" s="79" t="str">
        <f>Magic!$A85&amp;". "&amp;Magic!$B85</f>
        <v>R4. Remove Curse</v>
      </c>
      <c r="C51" s="79"/>
      <c r="D51" s="79"/>
      <c r="E51" s="79"/>
      <c r="F51" s="79"/>
      <c r="G51" s="498">
        <f>Magic!$D85</f>
        <v>8</v>
      </c>
      <c r="H51" s="498">
        <f>Magic!$E85</f>
        <v>1.2</v>
      </c>
      <c r="I51" s="498">
        <f>Magic!$F85</f>
        <v>0.4</v>
      </c>
      <c r="J51" s="814">
        <f>Magic!$G85</f>
        <v>0</v>
      </c>
      <c r="K51" s="814"/>
      <c r="L51" s="814" t="str">
        <f>Magic!$H85</f>
        <v>6 / 18 Hours</v>
      </c>
      <c r="M51" s="814"/>
      <c r="N51" s="499" t="str">
        <f>Magic!$I85</f>
        <v>L: 8% / G: 12% / D: 13% -cMA</v>
      </c>
      <c r="O51" s="499"/>
      <c r="P51" s="499"/>
    </row>
    <row r="52" spans="1:18" x14ac:dyDescent="0.2">
      <c r="A52" s="80" t="str">
        <f>Magic!$C86</f>
        <v>Un</v>
      </c>
      <c r="B52" s="79" t="str">
        <f>Magic!$A86&amp;". "&amp;Magic!$B86</f>
        <v>R5. Sealing</v>
      </c>
      <c r="C52" s="79"/>
      <c r="D52" s="79"/>
      <c r="E52" s="79"/>
      <c r="F52" s="79"/>
      <c r="G52" s="498">
        <f>Magic!$D86</f>
        <v>27</v>
      </c>
      <c r="H52" s="498">
        <f>Magic!$E86</f>
        <v>4.05</v>
      </c>
      <c r="I52" s="498">
        <f>Magic!$F86</f>
        <v>1.35</v>
      </c>
      <c r="J52" s="814" t="str">
        <f>Magic!$G86</f>
        <v>0 Feet</v>
      </c>
      <c r="K52" s="814"/>
      <c r="L52" s="814" t="str">
        <f>Magic!$H86</f>
        <v>0 Days</v>
      </c>
      <c r="M52" s="814"/>
      <c r="N52" s="499">
        <f>Magic!$I86</f>
        <v>0</v>
      </c>
      <c r="O52" s="499"/>
      <c r="P52" s="499"/>
    </row>
    <row r="53" spans="1:18" x14ac:dyDescent="0.2">
      <c r="A53" s="80" t="str">
        <f>Magic!$C87</f>
        <v>Un</v>
      </c>
      <c r="B53" s="79" t="str">
        <f>Magic!$A87&amp;". "&amp;Magic!$B87</f>
        <v>R6. True Form</v>
      </c>
      <c r="C53" s="79"/>
      <c r="D53" s="79"/>
      <c r="E53" s="79"/>
      <c r="F53" s="79"/>
      <c r="G53" s="498">
        <f>Magic!$D87</f>
        <v>22</v>
      </c>
      <c r="H53" s="498">
        <f>Magic!$E87</f>
        <v>3.3</v>
      </c>
      <c r="I53" s="498">
        <f>Magic!$F87</f>
        <v>1.1000000000000001</v>
      </c>
      <c r="J53" s="814" t="str">
        <f>Magic!$G87</f>
        <v>5 Feet</v>
      </c>
      <c r="K53" s="814"/>
      <c r="L53" s="814" t="str">
        <f>Magic!$H87</f>
        <v>Immediate</v>
      </c>
      <c r="M53" s="814"/>
      <c r="N53" s="499">
        <f>Magic!$I87</f>
        <v>0</v>
      </c>
      <c r="O53" s="499"/>
      <c r="P53" s="499"/>
    </row>
    <row r="54" spans="1:18" x14ac:dyDescent="0.2">
      <c r="A54" s="80" t="str">
        <f>Magic!$C88</f>
        <v>Un</v>
      </c>
      <c r="B54" s="79" t="str">
        <f>Magic!$A88&amp;". "&amp;Magic!$B88</f>
        <v>R7. True Speaking</v>
      </c>
      <c r="C54" s="79"/>
      <c r="D54" s="79"/>
      <c r="E54" s="79"/>
      <c r="F54" s="79"/>
      <c r="G54" s="498">
        <f>Magic!$D88</f>
        <v>27</v>
      </c>
      <c r="H54" s="498">
        <f>Magic!$E88</f>
        <v>4.05</v>
      </c>
      <c r="I54" s="498">
        <f>Magic!$F88</f>
        <v>1.35</v>
      </c>
      <c r="J54" s="814" t="str">
        <f>Magic!$G88</f>
        <v>10 Feet</v>
      </c>
      <c r="K54" s="814"/>
      <c r="L54" s="814" t="str">
        <f>Magic!$H88</f>
        <v>30 Mins</v>
      </c>
      <c r="M54" s="814"/>
      <c r="N54" s="499">
        <f>Magic!$I88</f>
        <v>0</v>
      </c>
      <c r="O54" s="499"/>
      <c r="P54" s="499"/>
    </row>
    <row r="55" spans="1:18" ht="3" customHeight="1" x14ac:dyDescent="0.2">
      <c r="A55" s="80"/>
      <c r="B55" s="79"/>
      <c r="C55" s="79"/>
      <c r="D55" s="79"/>
      <c r="E55" s="79"/>
      <c r="F55" s="79"/>
      <c r="G55" s="498"/>
      <c r="H55" s="498"/>
      <c r="I55" s="498"/>
      <c r="J55" s="498"/>
      <c r="K55" s="498"/>
      <c r="L55" s="498"/>
      <c r="M55" s="498"/>
      <c r="N55" s="499"/>
      <c r="O55" s="499"/>
      <c r="P55" s="499"/>
    </row>
    <row r="56" spans="1:18" x14ac:dyDescent="0.2">
      <c r="A56" s="501" t="s">
        <v>149</v>
      </c>
      <c r="B56" s="502" t="s">
        <v>1463</v>
      </c>
      <c r="C56" s="503"/>
      <c r="D56" s="503" t="s">
        <v>231</v>
      </c>
      <c r="E56" s="503" t="str">
        <f>H33</f>
        <v>Dbl</v>
      </c>
      <c r="F56" s="503" t="str">
        <f>I33</f>
        <v>Trp</v>
      </c>
      <c r="G56" s="504" t="s">
        <v>1213</v>
      </c>
      <c r="H56" s="504" t="s">
        <v>1465</v>
      </c>
      <c r="I56" s="533" t="s">
        <v>1466</v>
      </c>
      <c r="J56" s="501" t="s">
        <v>149</v>
      </c>
      <c r="K56" s="502" t="s">
        <v>1464</v>
      </c>
      <c r="L56" s="503"/>
      <c r="M56" s="503" t="s">
        <v>231</v>
      </c>
      <c r="N56" s="503" t="s">
        <v>265</v>
      </c>
      <c r="O56" s="503" t="s">
        <v>266</v>
      </c>
      <c r="P56" s="504" t="s">
        <v>1213</v>
      </c>
      <c r="Q56" s="504" t="s">
        <v>1465</v>
      </c>
      <c r="R56" s="533" t="s">
        <v>1466</v>
      </c>
    </row>
    <row r="57" spans="1:18" x14ac:dyDescent="0.2">
      <c r="A57" s="505">
        <f>Magic!$C89</f>
        <v>0</v>
      </c>
      <c r="B57" s="79" t="str">
        <f>LEFT(Magic!$B89,LEN(Magic!$B89)-20)</f>
        <v xml:space="preserve">Air </v>
      </c>
      <c r="C57" s="79"/>
      <c r="D57" s="498">
        <f>Magic!$D89</f>
        <v>40</v>
      </c>
      <c r="E57" s="498">
        <f>Magic!$E89</f>
        <v>6</v>
      </c>
      <c r="F57" s="498">
        <f>Magic!$F89</f>
        <v>2</v>
      </c>
      <c r="G57" s="506" t="str">
        <f>LEFT(Magic!$G89,SEARCH(" ",Magic!$G89))&amp;"'"</f>
        <v>25 '</v>
      </c>
      <c r="H57" s="506" t="str">
        <f>LEFT(Magic!$H89,SEARCH(" ",Magic!$H89))</f>
        <v xml:space="preserve">D+5 </v>
      </c>
      <c r="I57" s="507" t="str">
        <f>LEFT(Magic!$I89,SEARCH(" ",Magic!$I89))&amp;"%"</f>
        <v>+30 %</v>
      </c>
      <c r="J57" s="505">
        <f>Magic!$C90</f>
        <v>0</v>
      </c>
      <c r="K57" s="79" t="str">
        <f>LEFT(Magic!$B90,LEN(Magic!$B90)-21)</f>
        <v>Air</v>
      </c>
      <c r="L57" s="79"/>
      <c r="M57" s="498">
        <f>Magic!$D90</f>
        <v>40</v>
      </c>
      <c r="N57" s="498">
        <f>Magic!$E90</f>
        <v>6</v>
      </c>
      <c r="O57" s="498">
        <f>Magic!$F90</f>
        <v>2</v>
      </c>
      <c r="P57" s="506" t="str">
        <f>LEFT(Magic!$G90,SEARCH(" ",Magic!$G90))&amp;"'"</f>
        <v>25 '</v>
      </c>
      <c r="Q57" s="506" t="str">
        <f>LEFT(Magic!$H90,SEARCH(" ",Magic!$H90))</f>
        <v xml:space="preserve">D+5 </v>
      </c>
      <c r="R57" s="507" t="str">
        <f>LEFT(Magic!$I90,SEARCH(" ",Magic!$I90))&amp;"%"</f>
        <v>+30 %</v>
      </c>
    </row>
    <row r="58" spans="1:18" x14ac:dyDescent="0.2">
      <c r="A58" s="505">
        <f>Magic!$C91</f>
        <v>0</v>
      </c>
      <c r="B58" s="79" t="str">
        <f>LEFT(Magic!$B91,LEN(Magic!$B91)-20)</f>
        <v xml:space="preserve">Bardic </v>
      </c>
      <c r="C58" s="79"/>
      <c r="D58" s="498">
        <f>Magic!$D91</f>
        <v>40</v>
      </c>
      <c r="E58" s="498">
        <f>Magic!$E91</f>
        <v>6</v>
      </c>
      <c r="F58" s="498">
        <f>Magic!$F91</f>
        <v>2</v>
      </c>
      <c r="G58" s="506" t="str">
        <f>LEFT(Magic!$G91,SEARCH(" ",Magic!$G91))&amp;"'"</f>
        <v>25 '</v>
      </c>
      <c r="H58" s="506" t="str">
        <f>LEFT(Magic!$H91,SEARCH(" ",Magic!$H91))</f>
        <v xml:space="preserve">D+5 </v>
      </c>
      <c r="I58" s="507" t="str">
        <f>LEFT(Magic!$I91,SEARCH(" ",Magic!$I91))&amp;"%"</f>
        <v>+30 %</v>
      </c>
      <c r="J58" s="505">
        <f>Magic!$C92</f>
        <v>0</v>
      </c>
      <c r="K58" s="79" t="str">
        <f>LEFT(Magic!$B92,LEN(Magic!$B92)-21)</f>
        <v>Bardic</v>
      </c>
      <c r="L58" s="79"/>
      <c r="M58" s="498">
        <f>Magic!$D92</f>
        <v>40</v>
      </c>
      <c r="N58" s="498">
        <f>Magic!$E92</f>
        <v>6</v>
      </c>
      <c r="O58" s="498">
        <f>Magic!$F92</f>
        <v>2</v>
      </c>
      <c r="P58" s="506" t="str">
        <f>LEFT(Magic!$G92,SEARCH(" ",Magic!$G92))&amp;"'"</f>
        <v>25 '</v>
      </c>
      <c r="Q58" s="506" t="str">
        <f>LEFT(Magic!$H92,SEARCH(" ",Magic!$H92))</f>
        <v xml:space="preserve">D+5 </v>
      </c>
      <c r="R58" s="507" t="str">
        <f>LEFT(Magic!$I92,SEARCH(" ",Magic!$I92))&amp;"%"</f>
        <v>+30 %</v>
      </c>
    </row>
    <row r="59" spans="1:18" x14ac:dyDescent="0.2">
      <c r="A59" s="505">
        <f>Magic!$C93</f>
        <v>0</v>
      </c>
      <c r="B59" s="79" t="str">
        <f>LEFT(Magic!$B93,LEN(Magic!$B93)-20)</f>
        <v xml:space="preserve">Binder </v>
      </c>
      <c r="C59" s="79"/>
      <c r="D59" s="498">
        <f>Magic!$D93</f>
        <v>40</v>
      </c>
      <c r="E59" s="498">
        <f>Magic!$E93</f>
        <v>6</v>
      </c>
      <c r="F59" s="498">
        <f>Magic!$F93</f>
        <v>2</v>
      </c>
      <c r="G59" s="506" t="str">
        <f>LEFT(Magic!$G93,SEARCH(" ",Magic!$G93))&amp;"'"</f>
        <v>25 '</v>
      </c>
      <c r="H59" s="506" t="str">
        <f>LEFT(Magic!$H93,SEARCH(" ",Magic!$H93))</f>
        <v xml:space="preserve">D+5 </v>
      </c>
      <c r="I59" s="507" t="str">
        <f>LEFT(Magic!$I93,SEARCH(" ",Magic!$I93))&amp;"%"</f>
        <v>+30 %</v>
      </c>
      <c r="J59" s="505">
        <f>Magic!$C94</f>
        <v>0</v>
      </c>
      <c r="K59" s="79" t="str">
        <f>LEFT(Magic!$B94,LEN(Magic!$B94)-21)</f>
        <v>Binder</v>
      </c>
      <c r="L59" s="79"/>
      <c r="M59" s="498">
        <f>Magic!$D94</f>
        <v>40</v>
      </c>
      <c r="N59" s="498">
        <f>Magic!$E94</f>
        <v>6</v>
      </c>
      <c r="O59" s="498">
        <f>Magic!$F94</f>
        <v>2</v>
      </c>
      <c r="P59" s="506" t="str">
        <f>LEFT(Magic!$G94,SEARCH(" ",Magic!$G94))&amp;"'"</f>
        <v>25 '</v>
      </c>
      <c r="Q59" s="506" t="str">
        <f>LEFT(Magic!$H94,SEARCH(" ",Magic!$H94))</f>
        <v xml:space="preserve">D+5 </v>
      </c>
      <c r="R59" s="507" t="str">
        <f>LEFT(Magic!$I94,SEARCH(" ",Magic!$I94))&amp;"%"</f>
        <v>+30 %</v>
      </c>
    </row>
    <row r="60" spans="1:18" x14ac:dyDescent="0.2">
      <c r="A60" s="505">
        <f>Magic!$C95</f>
        <v>0</v>
      </c>
      <c r="B60" s="79" t="str">
        <f>LEFT(Magic!$B95,LEN(Magic!$B95)-20)</f>
        <v xml:space="preserve">Celestial </v>
      </c>
      <c r="C60" s="79"/>
      <c r="D60" s="498">
        <f>Magic!$D95</f>
        <v>40</v>
      </c>
      <c r="E60" s="498">
        <f>Magic!$E95</f>
        <v>6</v>
      </c>
      <c r="F60" s="498">
        <f>Magic!$F95</f>
        <v>2</v>
      </c>
      <c r="G60" s="506" t="str">
        <f>LEFT(Magic!$G95,SEARCH(" ",Magic!$G95))&amp;"'"</f>
        <v>25 '</v>
      </c>
      <c r="H60" s="506" t="str">
        <f>LEFT(Magic!$H95,SEARCH(" ",Magic!$H95))</f>
        <v xml:space="preserve">D+5 </v>
      </c>
      <c r="I60" s="507" t="str">
        <f>LEFT(Magic!$I95,SEARCH(" ",Magic!$I95))&amp;"%"</f>
        <v>+30 %</v>
      </c>
      <c r="J60" s="505">
        <f>Magic!$C96</f>
        <v>0</v>
      </c>
      <c r="K60" s="79" t="str">
        <f>LEFT(Magic!$B96,LEN(Magic!$B96)-21)</f>
        <v>Celestial</v>
      </c>
      <c r="L60" s="79"/>
      <c r="M60" s="498">
        <f>Magic!$D96</f>
        <v>40</v>
      </c>
      <c r="N60" s="498">
        <f>Magic!$E96</f>
        <v>6</v>
      </c>
      <c r="O60" s="498">
        <f>Magic!$F96</f>
        <v>2</v>
      </c>
      <c r="P60" s="506" t="str">
        <f>LEFT(Magic!$G96,SEARCH(" ",Magic!$G96))&amp;"'"</f>
        <v>25 '</v>
      </c>
      <c r="Q60" s="506" t="str">
        <f>LEFT(Magic!$H96,SEARCH(" ",Magic!$H96))</f>
        <v xml:space="preserve">D+5 </v>
      </c>
      <c r="R60" s="507" t="str">
        <f>LEFT(Magic!$I96,SEARCH(" ",Magic!$I96))&amp;"%"</f>
        <v>+30 %</v>
      </c>
    </row>
    <row r="61" spans="1:18" x14ac:dyDescent="0.2">
      <c r="A61" s="505">
        <f>Magic!$C97</f>
        <v>0</v>
      </c>
      <c r="B61" s="79" t="str">
        <f>LEFT(Magic!$B97,LEN(Magic!$B97)-20)</f>
        <v xml:space="preserve">E&amp;E </v>
      </c>
      <c r="C61" s="79"/>
      <c r="D61" s="498">
        <f>Magic!$D97</f>
        <v>40</v>
      </c>
      <c r="E61" s="498">
        <f>Magic!$E97</f>
        <v>6</v>
      </c>
      <c r="F61" s="498">
        <f>Magic!$F97</f>
        <v>2</v>
      </c>
      <c r="G61" s="506" t="str">
        <f>LEFT(Magic!$G97,SEARCH(" ",Magic!$G97))&amp;"'"</f>
        <v>25 '</v>
      </c>
      <c r="H61" s="506" t="str">
        <f>LEFT(Magic!$H97,SEARCH(" ",Magic!$H97))</f>
        <v xml:space="preserve">D+5 </v>
      </c>
      <c r="I61" s="507" t="str">
        <f>LEFT(Magic!$I97,SEARCH(" ",Magic!$I97))&amp;"%"</f>
        <v>+30 %</v>
      </c>
      <c r="J61" s="505">
        <f>Magic!$C98</f>
        <v>0</v>
      </c>
      <c r="K61" s="79" t="str">
        <f>LEFT(Magic!$B98,LEN(Magic!$B98)-21)</f>
        <v>E&amp;E</v>
      </c>
      <c r="L61" s="79"/>
      <c r="M61" s="498">
        <f>Magic!$D98</f>
        <v>40</v>
      </c>
      <c r="N61" s="498">
        <f>Magic!$E98</f>
        <v>6</v>
      </c>
      <c r="O61" s="498">
        <f>Magic!$F98</f>
        <v>2</v>
      </c>
      <c r="P61" s="506" t="str">
        <f>LEFT(Magic!$G98,SEARCH(" ",Magic!$G98))&amp;"'"</f>
        <v>25 '</v>
      </c>
      <c r="Q61" s="506" t="str">
        <f>LEFT(Magic!$H98,SEARCH(" ",Magic!$H98))</f>
        <v xml:space="preserve">D+5 </v>
      </c>
      <c r="R61" s="507" t="str">
        <f>LEFT(Magic!$I98,SEARCH(" ",Magic!$I98))&amp;"%"</f>
        <v>+30 %</v>
      </c>
    </row>
    <row r="62" spans="1:18" x14ac:dyDescent="0.2">
      <c r="A62" s="505">
        <f>Magic!$C99</f>
        <v>0</v>
      </c>
      <c r="B62" s="79" t="str">
        <f>LEFT(Magic!$B99,LEN(Magic!$B99)-20)</f>
        <v xml:space="preserve">Earth </v>
      </c>
      <c r="C62" s="79"/>
      <c r="D62" s="498">
        <f>Magic!$D99</f>
        <v>40</v>
      </c>
      <c r="E62" s="498">
        <f>Magic!$E99</f>
        <v>6</v>
      </c>
      <c r="F62" s="498">
        <f>Magic!$F99</f>
        <v>2</v>
      </c>
      <c r="G62" s="506" t="str">
        <f>LEFT(Magic!$G99,SEARCH(" ",Magic!$G99))&amp;"'"</f>
        <v>25 '</v>
      </c>
      <c r="H62" s="506" t="str">
        <f>LEFT(Magic!$H99,SEARCH(" ",Magic!$H99))</f>
        <v xml:space="preserve">D+5 </v>
      </c>
      <c r="I62" s="507" t="str">
        <f>LEFT(Magic!$I99,SEARCH(" ",Magic!$I99))&amp;"%"</f>
        <v>+30 %</v>
      </c>
      <c r="J62" s="505">
        <f>Magic!$C100</f>
        <v>0</v>
      </c>
      <c r="K62" s="79" t="str">
        <f>LEFT(Magic!$B100,LEN(Magic!$B100)-21)</f>
        <v>Earth</v>
      </c>
      <c r="L62" s="79"/>
      <c r="M62" s="498">
        <f>Magic!$D100</f>
        <v>40</v>
      </c>
      <c r="N62" s="498">
        <f>Magic!$E100</f>
        <v>6</v>
      </c>
      <c r="O62" s="498">
        <f>Magic!$F100</f>
        <v>2</v>
      </c>
      <c r="P62" s="506" t="str">
        <f>LEFT(Magic!$G100,SEARCH(" ",Magic!$G100))&amp;"'"</f>
        <v>25 '</v>
      </c>
      <c r="Q62" s="506" t="str">
        <f>LEFT(Magic!$H100,SEARCH(" ",Magic!$H100))</f>
        <v xml:space="preserve">D+5 </v>
      </c>
      <c r="R62" s="507" t="str">
        <f>LEFT(Magic!$I100,SEARCH(" ",Magic!$I100))&amp;"%"</f>
        <v>+30 %</v>
      </c>
    </row>
    <row r="63" spans="1:18" x14ac:dyDescent="0.2">
      <c r="A63" s="505">
        <f>Magic!$C101</f>
        <v>0</v>
      </c>
      <c r="B63" s="79" t="str">
        <f>LEFT(Magic!$B101,LEN(Magic!$B101)-20)</f>
        <v xml:space="preserve">Fire </v>
      </c>
      <c r="C63" s="79"/>
      <c r="D63" s="498">
        <f>Magic!$D101</f>
        <v>40</v>
      </c>
      <c r="E63" s="498">
        <f>Magic!$E101</f>
        <v>6</v>
      </c>
      <c r="F63" s="498">
        <f>Magic!$F101</f>
        <v>2</v>
      </c>
      <c r="G63" s="506" t="str">
        <f>LEFT(Magic!$G101,SEARCH(" ",Magic!$G101))&amp;"'"</f>
        <v>25 '</v>
      </c>
      <c r="H63" s="506" t="str">
        <f>LEFT(Magic!$H101,SEARCH(" ",Magic!$H101))</f>
        <v xml:space="preserve">D+5 </v>
      </c>
      <c r="I63" s="507" t="str">
        <f>LEFT(Magic!$I101,SEARCH(" ",Magic!$I101))&amp;"%"</f>
        <v>+30 %</v>
      </c>
      <c r="J63" s="505">
        <f>Magic!$C102</f>
        <v>0</v>
      </c>
      <c r="K63" s="79" t="str">
        <f>LEFT(Magic!$B102,LEN(Magic!$B102)-21)</f>
        <v>Fire</v>
      </c>
      <c r="L63" s="79"/>
      <c r="M63" s="498">
        <f>Magic!$D102</f>
        <v>40</v>
      </c>
      <c r="N63" s="498">
        <f>Magic!$E102</f>
        <v>6</v>
      </c>
      <c r="O63" s="498">
        <f>Magic!$F102</f>
        <v>2</v>
      </c>
      <c r="P63" s="506" t="str">
        <f>LEFT(Magic!$G102,SEARCH(" ",Magic!$G102))&amp;"'"</f>
        <v>25 '</v>
      </c>
      <c r="Q63" s="506" t="str">
        <f>LEFT(Magic!$H102,SEARCH(" ",Magic!$H102))</f>
        <v xml:space="preserve">D+5 </v>
      </c>
      <c r="R63" s="507" t="str">
        <f>LEFT(Magic!$I102,SEARCH(" ",Magic!$I102))&amp;"%"</f>
        <v>+30 %</v>
      </c>
    </row>
    <row r="64" spans="1:18" x14ac:dyDescent="0.2">
      <c r="A64" s="505">
        <f>Magic!$C103</f>
        <v>0</v>
      </c>
      <c r="B64" s="79" t="str">
        <f>LEFT(Magic!$B103,LEN(Magic!$B103)-20)</f>
        <v xml:space="preserve">G Summoner </v>
      </c>
      <c r="C64" s="79"/>
      <c r="D64" s="498">
        <f>Magic!$D103</f>
        <v>40</v>
      </c>
      <c r="E64" s="498">
        <f>Magic!$E103</f>
        <v>6</v>
      </c>
      <c r="F64" s="498">
        <f>Magic!$F103</f>
        <v>2</v>
      </c>
      <c r="G64" s="506" t="str">
        <f>LEFT(Magic!$G103,SEARCH(" ",Magic!$G103))&amp;"'"</f>
        <v>25 '</v>
      </c>
      <c r="H64" s="506" t="str">
        <f>LEFT(Magic!$H103,SEARCH(" ",Magic!$H103))</f>
        <v xml:space="preserve">D+5 </v>
      </c>
      <c r="I64" s="507" t="str">
        <f>LEFT(Magic!$I103,SEARCH(" ",Magic!$I103))&amp;"%"</f>
        <v>+30 %</v>
      </c>
      <c r="J64" s="505">
        <f>Magic!$C104</f>
        <v>0</v>
      </c>
      <c r="K64" s="79" t="str">
        <f>LEFT(Magic!$B104,LEN(Magic!$B104)-21)</f>
        <v>G Summoner</v>
      </c>
      <c r="L64" s="79"/>
      <c r="M64" s="498">
        <f>Magic!$D104</f>
        <v>40</v>
      </c>
      <c r="N64" s="498">
        <f>Magic!$E104</f>
        <v>6</v>
      </c>
      <c r="O64" s="498">
        <f>Magic!$F104</f>
        <v>2</v>
      </c>
      <c r="P64" s="506" t="str">
        <f>LEFT(Magic!$G104,SEARCH(" ",Magic!$G104))&amp;"'"</f>
        <v>25 '</v>
      </c>
      <c r="Q64" s="506" t="str">
        <f>LEFT(Magic!$H104,SEARCH(" ",Magic!$H104))</f>
        <v xml:space="preserve">D+5 </v>
      </c>
      <c r="R64" s="507" t="str">
        <f>LEFT(Magic!$I104,SEARCH(" ",Magic!$I104))&amp;"%"</f>
        <v>+30 %</v>
      </c>
    </row>
    <row r="65" spans="1:18" x14ac:dyDescent="0.2">
      <c r="A65" s="505">
        <f>Magic!$C105</f>
        <v>0</v>
      </c>
      <c r="B65" s="79" t="str">
        <f>LEFT(Magic!$B105,LEN(Magic!$B105)-20)</f>
        <v xml:space="preserve">Ice </v>
      </c>
      <c r="C65" s="79"/>
      <c r="D65" s="498">
        <f>Magic!$D105</f>
        <v>40</v>
      </c>
      <c r="E65" s="498">
        <f>Magic!$E105</f>
        <v>6</v>
      </c>
      <c r="F65" s="498">
        <f>Magic!$F105</f>
        <v>2</v>
      </c>
      <c r="G65" s="506" t="str">
        <f>LEFT(Magic!$G105,SEARCH(" ",Magic!$G105))&amp;"'"</f>
        <v>25 '</v>
      </c>
      <c r="H65" s="506" t="str">
        <f>LEFT(Magic!$H105,SEARCH(" ",Magic!$H105))</f>
        <v xml:space="preserve">D+5 </v>
      </c>
      <c r="I65" s="507" t="str">
        <f>LEFT(Magic!$I105,SEARCH(" ",Magic!$I105))&amp;"%"</f>
        <v>+30 %</v>
      </c>
      <c r="J65" s="505">
        <f>Magic!$C106</f>
        <v>0</v>
      </c>
      <c r="K65" s="79" t="str">
        <f>LEFT(Magic!$B106,LEN(Magic!$B106)-21)</f>
        <v>Ice</v>
      </c>
      <c r="L65" s="79"/>
      <c r="M65" s="498">
        <f>Magic!$D106</f>
        <v>40</v>
      </c>
      <c r="N65" s="498">
        <f>Magic!$E106</f>
        <v>6</v>
      </c>
      <c r="O65" s="498">
        <f>Magic!$F106</f>
        <v>2</v>
      </c>
      <c r="P65" s="506" t="str">
        <f>LEFT(Magic!$G106,SEARCH(" ",Magic!$G106))&amp;"'"</f>
        <v>25 '</v>
      </c>
      <c r="Q65" s="506" t="str">
        <f>LEFT(Magic!$H106,SEARCH(" ",Magic!$H106))</f>
        <v xml:space="preserve">D+5 </v>
      </c>
      <c r="R65" s="507" t="str">
        <f>LEFT(Magic!$I106,SEARCH(" ",Magic!$I106))&amp;"%"</f>
        <v>+30 %</v>
      </c>
    </row>
    <row r="66" spans="1:18" x14ac:dyDescent="0.2">
      <c r="A66" s="505">
        <f>Magic!$C107</f>
        <v>0</v>
      </c>
      <c r="B66" s="79" t="str">
        <f>LEFT(Magic!$B107,LEN(Magic!$B107)-20)</f>
        <v xml:space="preserve">Illusion </v>
      </c>
      <c r="C66" s="79"/>
      <c r="D66" s="498">
        <f>Magic!$D107</f>
        <v>40</v>
      </c>
      <c r="E66" s="498">
        <f>Magic!$E107</f>
        <v>6</v>
      </c>
      <c r="F66" s="498">
        <f>Magic!$F107</f>
        <v>2</v>
      </c>
      <c r="G66" s="506" t="str">
        <f>LEFT(Magic!$G107,SEARCH(" ",Magic!$G107))&amp;"'"</f>
        <v>25 '</v>
      </c>
      <c r="H66" s="506" t="str">
        <f>LEFT(Magic!$H107,SEARCH(" ",Magic!$H107))</f>
        <v xml:space="preserve">D+5 </v>
      </c>
      <c r="I66" s="507" t="str">
        <f>LEFT(Magic!$I107,SEARCH(" ",Magic!$I107))&amp;"%"</f>
        <v>+30 %</v>
      </c>
      <c r="J66" s="505">
        <f>Magic!$C108</f>
        <v>0</v>
      </c>
      <c r="K66" s="79" t="str">
        <f>LEFT(Magic!$B108,LEN(Magic!$B108)-21)</f>
        <v>Illusion</v>
      </c>
      <c r="L66" s="79"/>
      <c r="M66" s="498">
        <f>Magic!$D108</f>
        <v>40</v>
      </c>
      <c r="N66" s="498">
        <f>Magic!$E108</f>
        <v>6</v>
      </c>
      <c r="O66" s="498">
        <f>Magic!$F108</f>
        <v>2</v>
      </c>
      <c r="P66" s="506" t="str">
        <f>LEFT(Magic!$G108,SEARCH(" ",Magic!$G108))&amp;"'"</f>
        <v>25 '</v>
      </c>
      <c r="Q66" s="506" t="str">
        <f>LEFT(Magic!$H108,SEARCH(" ",Magic!$H108))</f>
        <v xml:space="preserve">D+5 </v>
      </c>
      <c r="R66" s="507" t="str">
        <f>LEFT(Magic!$I108,SEARCH(" ",Magic!$I108))&amp;"%"</f>
        <v>+30 %</v>
      </c>
    </row>
    <row r="67" spans="1:18" x14ac:dyDescent="0.2">
      <c r="A67" s="505">
        <f>Magic!$C109</f>
        <v>0</v>
      </c>
      <c r="B67" s="79" t="str">
        <f>LEFT(Magic!$B109,LEN(Magic!$B109)-20)</f>
        <v xml:space="preserve">Mind </v>
      </c>
      <c r="C67" s="79"/>
      <c r="D67" s="498">
        <f>Magic!$D109</f>
        <v>40</v>
      </c>
      <c r="E67" s="498">
        <f>Magic!$E109</f>
        <v>6</v>
      </c>
      <c r="F67" s="498">
        <f>Magic!$F109</f>
        <v>2</v>
      </c>
      <c r="G67" s="506" t="str">
        <f>LEFT(Magic!$G109,SEARCH(" ",Magic!$G109))&amp;"'"</f>
        <v>25 '</v>
      </c>
      <c r="H67" s="506" t="str">
        <f>LEFT(Magic!$H109,SEARCH(" ",Magic!$H109))</f>
        <v xml:space="preserve">D+5 </v>
      </c>
      <c r="I67" s="507" t="str">
        <f>LEFT(Magic!$I109,SEARCH(" ",Magic!$I109))&amp;"%"</f>
        <v>+30 %</v>
      </c>
      <c r="J67" s="505">
        <f>Magic!$C110</f>
        <v>0</v>
      </c>
      <c r="K67" s="79" t="str">
        <f>LEFT(Magic!$B110,LEN(Magic!$B110)-21)</f>
        <v>Mind</v>
      </c>
      <c r="L67" s="79"/>
      <c r="M67" s="498">
        <f>Magic!$D110</f>
        <v>40</v>
      </c>
      <c r="N67" s="498">
        <f>Magic!$E110</f>
        <v>6</v>
      </c>
      <c r="O67" s="498">
        <f>Magic!$F110</f>
        <v>2</v>
      </c>
      <c r="P67" s="506" t="str">
        <f>LEFT(Magic!$G110,SEARCH(" ",Magic!$G110))&amp;"'"</f>
        <v>25 '</v>
      </c>
      <c r="Q67" s="506" t="str">
        <f>LEFT(Magic!$H110,SEARCH(" ",Magic!$H110))</f>
        <v xml:space="preserve">D+5 </v>
      </c>
      <c r="R67" s="507" t="str">
        <f>LEFT(Magic!$I110,SEARCH(" ",Magic!$I110))&amp;"%"</f>
        <v>+30 %</v>
      </c>
    </row>
    <row r="68" spans="1:18" x14ac:dyDescent="0.2">
      <c r="A68" s="505">
        <f>Magic!$C111</f>
        <v>0</v>
      </c>
      <c r="B68" s="79" t="str">
        <f>LEFT(Magic!$B111,LEN(Magic!$B111)-20)</f>
        <v xml:space="preserve">Namer </v>
      </c>
      <c r="C68" s="79"/>
      <c r="D68" s="498">
        <f>Magic!$D111</f>
        <v>40</v>
      </c>
      <c r="E68" s="498">
        <f>Magic!$E111</f>
        <v>6</v>
      </c>
      <c r="F68" s="498">
        <f>Magic!$F111</f>
        <v>2</v>
      </c>
      <c r="G68" s="506" t="str">
        <f>LEFT(Magic!$G111,SEARCH(" ",Magic!$G111))&amp;"'"</f>
        <v>25 '</v>
      </c>
      <c r="H68" s="506" t="str">
        <f>LEFT(Magic!$H111,SEARCH(" ",Magic!$H111))</f>
        <v xml:space="preserve">D+5 </v>
      </c>
      <c r="I68" s="507" t="str">
        <f>LEFT(Magic!$I111,SEARCH(" ",Magic!$I111))&amp;"%"</f>
        <v>+30 %</v>
      </c>
      <c r="J68" s="505">
        <f>Magic!$C112</f>
        <v>0</v>
      </c>
      <c r="K68" s="79" t="str">
        <f>LEFT(Magic!$B112,LEN(Magic!$B112)-21)</f>
        <v>Namer</v>
      </c>
      <c r="L68" s="79"/>
      <c r="M68" s="498">
        <f>Magic!$D112</f>
        <v>40</v>
      </c>
      <c r="N68" s="498">
        <f>Magic!$E112</f>
        <v>6</v>
      </c>
      <c r="O68" s="498">
        <f>Magic!$F112</f>
        <v>2</v>
      </c>
      <c r="P68" s="506" t="str">
        <f>LEFT(Magic!$G112,SEARCH(" ",Magic!$G112))&amp;"'"</f>
        <v>25 '</v>
      </c>
      <c r="Q68" s="506" t="str">
        <f>LEFT(Magic!$H112,SEARCH(" ",Magic!$H112))</f>
        <v xml:space="preserve">D+5 </v>
      </c>
      <c r="R68" s="507" t="str">
        <f>LEFT(Magic!$I112,SEARCH(" ",Magic!$I112))&amp;"%"</f>
        <v>+30 %</v>
      </c>
    </row>
    <row r="69" spans="1:18" x14ac:dyDescent="0.2">
      <c r="A69" s="505">
        <f>Magic!$C113</f>
        <v>0</v>
      </c>
      <c r="B69" s="79" t="str">
        <f>LEFT(Magic!$B113,LEN(Magic!$B113)-20)</f>
        <v xml:space="preserve">Necro </v>
      </c>
      <c r="C69" s="79"/>
      <c r="D69" s="498">
        <f>Magic!$D113</f>
        <v>40</v>
      </c>
      <c r="E69" s="498">
        <f>Magic!$E113</f>
        <v>6</v>
      </c>
      <c r="F69" s="498">
        <f>Magic!$F113</f>
        <v>2</v>
      </c>
      <c r="G69" s="506" t="str">
        <f>LEFT(Magic!$G113,SEARCH(" ",Magic!$G113))&amp;"'"</f>
        <v>25 '</v>
      </c>
      <c r="H69" s="506" t="str">
        <f>LEFT(Magic!$H113,SEARCH(" ",Magic!$H113))</f>
        <v xml:space="preserve">D+5 </v>
      </c>
      <c r="I69" s="507" t="str">
        <f>LEFT(Magic!$I113,SEARCH(" ",Magic!$I113))&amp;"%"</f>
        <v>+30 %</v>
      </c>
      <c r="J69" s="505">
        <f>Magic!$C114</f>
        <v>0</v>
      </c>
      <c r="K69" s="79" t="str">
        <f>LEFT(Magic!$B114,LEN(Magic!$B114)-21)</f>
        <v>Necro</v>
      </c>
      <c r="L69" s="79"/>
      <c r="M69" s="498">
        <f>Magic!$D114</f>
        <v>40</v>
      </c>
      <c r="N69" s="498">
        <f>Magic!$E114</f>
        <v>6</v>
      </c>
      <c r="O69" s="498">
        <f>Magic!$F114</f>
        <v>2</v>
      </c>
      <c r="P69" s="506" t="str">
        <f>LEFT(Magic!$G114,SEARCH(" ",Magic!$G114))&amp;"'"</f>
        <v>25 '</v>
      </c>
      <c r="Q69" s="506" t="str">
        <f>LEFT(Magic!$H114,SEARCH(" ",Magic!$H114))</f>
        <v xml:space="preserve">D+5 </v>
      </c>
      <c r="R69" s="507" t="str">
        <f>LEFT(Magic!$I114,SEARCH(" ",Magic!$I114))&amp;"%"</f>
        <v>+30 %</v>
      </c>
    </row>
    <row r="70" spans="1:18" x14ac:dyDescent="0.2">
      <c r="A70" s="505">
        <f>Magic!$C115</f>
        <v>0</v>
      </c>
      <c r="B70" s="79" t="str">
        <f>LEFT(Magic!$B115,LEN(Magic!$B115)-20)</f>
        <v xml:space="preserve">Rune </v>
      </c>
      <c r="C70" s="79"/>
      <c r="D70" s="498">
        <f>Magic!$D115</f>
        <v>40</v>
      </c>
      <c r="E70" s="498">
        <f>Magic!$E115</f>
        <v>6</v>
      </c>
      <c r="F70" s="498">
        <f>Magic!$F115</f>
        <v>2</v>
      </c>
      <c r="G70" s="506" t="str">
        <f>LEFT(Magic!$G115,SEARCH(" ",Magic!$G115))&amp;"'"</f>
        <v>25 '</v>
      </c>
      <c r="H70" s="506" t="str">
        <f>LEFT(Magic!$H115,SEARCH(" ",Magic!$H115))</f>
        <v xml:space="preserve">D+5 </v>
      </c>
      <c r="I70" s="507" t="str">
        <f>LEFT(Magic!$I115,SEARCH(" ",Magic!$I115))&amp;"%"</f>
        <v>+30 %</v>
      </c>
      <c r="J70" s="505">
        <f>Magic!$C116</f>
        <v>0</v>
      </c>
      <c r="K70" s="79" t="str">
        <f>LEFT(Magic!$B116,LEN(Magic!$B116)-21)</f>
        <v>Rune</v>
      </c>
      <c r="L70" s="79"/>
      <c r="M70" s="498">
        <f>Magic!$D116</f>
        <v>40</v>
      </c>
      <c r="N70" s="498">
        <f>Magic!$E116</f>
        <v>6</v>
      </c>
      <c r="O70" s="498">
        <f>Magic!$F116</f>
        <v>2</v>
      </c>
      <c r="P70" s="506" t="str">
        <f>LEFT(Magic!$G116,SEARCH(" ",Magic!$G116))&amp;"'"</f>
        <v>25 '</v>
      </c>
      <c r="Q70" s="506" t="str">
        <f>LEFT(Magic!$H116,SEARCH(" ",Magic!$H116))</f>
        <v xml:space="preserve">D+5 </v>
      </c>
      <c r="R70" s="507" t="str">
        <f>LEFT(Magic!$I116,SEARCH(" ",Magic!$I116))&amp;"%"</f>
        <v>+30 %</v>
      </c>
    </row>
    <row r="71" spans="1:18" x14ac:dyDescent="0.2">
      <c r="A71" s="505">
        <f>Magic!$C117</f>
        <v>0</v>
      </c>
      <c r="B71" s="79" t="str">
        <f>LEFT(Magic!$B117,LEN(Magic!$B117)-20)</f>
        <v xml:space="preserve">Water </v>
      </c>
      <c r="C71" s="79"/>
      <c r="D71" s="498">
        <f>Magic!$D117</f>
        <v>40</v>
      </c>
      <c r="E71" s="498">
        <f>Magic!$E117</f>
        <v>6</v>
      </c>
      <c r="F71" s="498">
        <f>Magic!$F117</f>
        <v>2</v>
      </c>
      <c r="G71" s="506" t="str">
        <f>LEFT(Magic!$G117,SEARCH(" ",Magic!$G117))&amp;"'"</f>
        <v>25 '</v>
      </c>
      <c r="H71" s="506" t="str">
        <f>LEFT(Magic!$H117,SEARCH(" ",Magic!$H117))</f>
        <v xml:space="preserve">D+5 </v>
      </c>
      <c r="I71" s="507" t="str">
        <f>LEFT(Magic!$I117,SEARCH(" ",Magic!$I117))&amp;"%"</f>
        <v>+30 %</v>
      </c>
      <c r="J71" s="505">
        <f>Magic!$C118</f>
        <v>0</v>
      </c>
      <c r="K71" s="79" t="str">
        <f>LEFT(Magic!$B118,LEN(Magic!$B118)-21)</f>
        <v>Water</v>
      </c>
      <c r="L71" s="79"/>
      <c r="M71" s="498">
        <f>Magic!$D118</f>
        <v>40</v>
      </c>
      <c r="N71" s="498">
        <f>Magic!$E118</f>
        <v>6</v>
      </c>
      <c r="O71" s="498">
        <f>Magic!$F118</f>
        <v>2</v>
      </c>
      <c r="P71" s="506" t="str">
        <f>LEFT(Magic!$G118,SEARCH(" ",Magic!$G118))&amp;"'"</f>
        <v>25 '</v>
      </c>
      <c r="Q71" s="506" t="str">
        <f>LEFT(Magic!$H118,SEARCH(" ",Magic!$H118))</f>
        <v xml:space="preserve">D+5 </v>
      </c>
      <c r="R71" s="507" t="str">
        <f>LEFT(Magic!$I118,SEARCH(" ",Magic!$I118))&amp;"%"</f>
        <v>+30 %</v>
      </c>
    </row>
    <row r="72" spans="1:18" x14ac:dyDescent="0.2">
      <c r="A72" s="508">
        <f>Magic!$C119</f>
        <v>0</v>
      </c>
      <c r="B72" s="509" t="str">
        <f>LEFT(Magic!$B119,LEN(Magic!$B119)-20)</f>
        <v xml:space="preserve">Wicca </v>
      </c>
      <c r="C72" s="509"/>
      <c r="D72" s="510">
        <f>Magic!$D119</f>
        <v>40</v>
      </c>
      <c r="E72" s="510">
        <f>Magic!$E119</f>
        <v>6</v>
      </c>
      <c r="F72" s="510">
        <f>Magic!$F119</f>
        <v>2</v>
      </c>
      <c r="G72" s="511" t="str">
        <f>LEFT(Magic!$G119,SEARCH(" ",Magic!$G119))&amp;"'"</f>
        <v>25 '</v>
      </c>
      <c r="H72" s="511" t="str">
        <f>LEFT(Magic!$H119,SEARCH(" ",Magic!$H119))</f>
        <v xml:space="preserve">D+5 </v>
      </c>
      <c r="I72" s="512" t="str">
        <f>LEFT(Magic!$I119,SEARCH(" ",Magic!$I119))&amp;"%"</f>
        <v>+30 %</v>
      </c>
      <c r="J72" s="508">
        <f>Magic!$C120</f>
        <v>0</v>
      </c>
      <c r="K72" s="509" t="str">
        <f>LEFT(Magic!$B120,LEN(Magic!$B120)-21)</f>
        <v>Wicca</v>
      </c>
      <c r="L72" s="509"/>
      <c r="M72" s="510">
        <f>Magic!$D120</f>
        <v>40</v>
      </c>
      <c r="N72" s="510">
        <f>Magic!$E120</f>
        <v>6</v>
      </c>
      <c r="O72" s="510">
        <f>Magic!$F120</f>
        <v>2</v>
      </c>
      <c r="P72" s="511" t="str">
        <f>LEFT(Magic!$G120,SEARCH(" ",Magic!$G120))&amp;"'"</f>
        <v>25 '</v>
      </c>
      <c r="Q72" s="511" t="str">
        <f>LEFT(Magic!$H120,SEARCH(" ",Magic!$H120))</f>
        <v xml:space="preserve">D+5 </v>
      </c>
      <c r="R72" s="512" t="str">
        <f>LEFT(Magic!$I120,SEARCH(" ",Magic!$I120))&amp;"%"</f>
        <v>+30 %</v>
      </c>
    </row>
    <row r="73" spans="1:18" ht="3" customHeight="1" x14ac:dyDescent="0.2"/>
    <row r="74" spans="1:18" x14ac:dyDescent="0.2">
      <c r="A74" s="513" t="str">
        <f>A33</f>
        <v>Rk</v>
      </c>
      <c r="B74" s="514" t="str">
        <f>Magic!$B586</f>
        <v>Racial/Other Abilities</v>
      </c>
      <c r="C74" s="514"/>
      <c r="D74" s="514"/>
      <c r="E74" s="514"/>
      <c r="F74" s="514"/>
      <c r="G74" s="515" t="str">
        <f t="shared" ref="G74:N74" si="0">G33</f>
        <v>%</v>
      </c>
      <c r="H74" s="515" t="str">
        <f t="shared" si="0"/>
        <v>Dbl</v>
      </c>
      <c r="I74" s="515" t="str">
        <f t="shared" si="0"/>
        <v>Trp</v>
      </c>
      <c r="J74" s="815" t="str">
        <f t="shared" si="0"/>
        <v>Range</v>
      </c>
      <c r="K74" s="815">
        <f t="shared" si="0"/>
        <v>0</v>
      </c>
      <c r="L74" s="815" t="str">
        <f t="shared" si="0"/>
        <v>Duration</v>
      </c>
      <c r="M74" s="815">
        <f t="shared" si="0"/>
        <v>0</v>
      </c>
      <c r="N74" s="516" t="str">
        <f t="shared" si="0"/>
        <v>Effect</v>
      </c>
      <c r="O74" s="517"/>
      <c r="P74" s="517"/>
      <c r="Q74" s="517"/>
      <c r="R74" s="517"/>
    </row>
    <row r="75" spans="1:18" x14ac:dyDescent="0.2">
      <c r="A75" s="80">
        <f>Magic!$C587</f>
        <v>0</v>
      </c>
      <c r="B75" s="79" t="str">
        <f>Magic!$A587&amp;". "&amp;Magic!$B587</f>
        <v>Trw. Witchsight (Elven)</v>
      </c>
      <c r="C75" s="79"/>
      <c r="D75" s="79"/>
      <c r="E75" s="79"/>
      <c r="F75" s="79"/>
      <c r="G75" s="498">
        <f>Magic!$D587</f>
        <v>0</v>
      </c>
      <c r="H75" s="498">
        <f>Magic!$E587</f>
        <v>0</v>
      </c>
      <c r="I75" s="498">
        <f>Magic!$F587</f>
        <v>0</v>
      </c>
      <c r="J75" s="814" t="str">
        <f>Magic!$G587</f>
        <v>75/150 Feet</v>
      </c>
      <c r="K75" s="814"/>
      <c r="L75" s="814">
        <f>Magic!$H587</f>
        <v>0</v>
      </c>
      <c r="M75" s="814"/>
      <c r="N75" s="499" t="str">
        <f>Magic!$I587</f>
        <v>See 150' in Dark, Unseen, Invis &lt; rk 1</v>
      </c>
    </row>
    <row r="76" spans="1:18" x14ac:dyDescent="0.2">
      <c r="A76" s="80">
        <f>Magic!$C588</f>
        <v>0</v>
      </c>
      <c r="B76" s="79" t="str">
        <f>Magic!$A588&amp;". "&amp;Magic!$B588</f>
        <v>RT. Dwarven Sight</v>
      </c>
      <c r="C76" s="79"/>
      <c r="D76" s="79"/>
      <c r="E76" s="79"/>
      <c r="F76" s="79"/>
      <c r="G76" s="498">
        <f>Magic!$D588</f>
        <v>0</v>
      </c>
      <c r="H76" s="498">
        <f>Magic!$E588</f>
        <v>0</v>
      </c>
      <c r="I76" s="498">
        <f>Magic!$F588</f>
        <v>0</v>
      </c>
      <c r="J76" s="814" t="str">
        <f>Magic!$G588</f>
        <v>50' / 100' / 150'</v>
      </c>
      <c r="K76" s="814"/>
      <c r="L76" s="814">
        <f>Magic!$H588</f>
        <v>0</v>
      </c>
      <c r="M76" s="814"/>
      <c r="N76" s="499" t="str">
        <f>Magic!$I588</f>
        <v>Dark =&gt; dusk: Out / Inside / Underground.</v>
      </c>
    </row>
    <row r="77" spans="1:18" x14ac:dyDescent="0.2">
      <c r="A77" s="80" t="str">
        <f>Magic!$C589</f>
        <v>Un</v>
      </c>
      <c r="B77" s="79" t="str">
        <f>Magic!$A589&amp;". "&amp;Magic!$B589</f>
        <v>Rcr. Curse Removal</v>
      </c>
      <c r="C77" s="79"/>
      <c r="D77" s="79"/>
      <c r="E77" s="79"/>
      <c r="F77" s="79"/>
      <c r="G77" s="498">
        <f>Magic!$D589</f>
        <v>10</v>
      </c>
      <c r="H77" s="498">
        <f>Magic!$E589</f>
        <v>1.5</v>
      </c>
      <c r="I77" s="498">
        <f>Magic!$F589</f>
        <v>0.5</v>
      </c>
      <c r="J77" s="814">
        <f>Magic!$G589</f>
        <v>0</v>
      </c>
      <c r="K77" s="814"/>
      <c r="L77" s="814">
        <f>Magic!$H589</f>
        <v>0</v>
      </c>
      <c r="M77" s="814"/>
      <c r="N77" s="499" t="str">
        <f>Magic!$I589</f>
        <v>L: 10% / G: 13% / D: 14% -cMA</v>
      </c>
    </row>
    <row r="78" spans="1:18" x14ac:dyDescent="0.2">
      <c r="A78" s="80" t="str">
        <f>Magic!$C590</f>
        <v>Un</v>
      </c>
      <c r="B78" s="79" t="str">
        <f>Magic!$A590&amp;". "&amp;Magic!$B590</f>
        <v>Sge. Geas</v>
      </c>
      <c r="C78" s="79"/>
      <c r="D78" s="79"/>
      <c r="E78" s="79"/>
      <c r="F78" s="79"/>
      <c r="G78" s="498">
        <f>Magic!$D590</f>
        <v>0</v>
      </c>
      <c r="H78" s="498">
        <f>Magic!$E590</f>
        <v>0</v>
      </c>
      <c r="I78" s="498">
        <f>Magic!$F590</f>
        <v>0</v>
      </c>
      <c r="J78" s="814">
        <f>Magic!$G590</f>
        <v>0</v>
      </c>
      <c r="K78" s="814"/>
      <c r="L78" s="814">
        <f>Magic!$H590</f>
        <v>0</v>
      </c>
      <c r="M78" s="814"/>
      <c r="N78" s="499">
        <f>Magic!$I590</f>
        <v>0</v>
      </c>
    </row>
    <row r="79" spans="1:18" x14ac:dyDescent="0.2">
      <c r="A79" s="80" t="str">
        <f>Magic!$C591</f>
        <v>Un</v>
      </c>
      <c r="B79" s="79" t="str">
        <f>Magic!$A591&amp;". "&amp;Magic!$B591</f>
        <v>Rin. Investment</v>
      </c>
      <c r="C79" s="79"/>
      <c r="D79" s="79"/>
      <c r="E79" s="79"/>
      <c r="F79" s="79"/>
      <c r="G79" s="498">
        <f>Magic!$D591</f>
        <v>12</v>
      </c>
      <c r="H79" s="498">
        <f>Magic!$E591</f>
        <v>1.7999999999999998</v>
      </c>
      <c r="I79" s="498">
        <f>Magic!$F591</f>
        <v>0.60000000000000009</v>
      </c>
      <c r="J79" s="814">
        <f>Magic!$G591</f>
        <v>0</v>
      </c>
      <c r="K79" s="814"/>
      <c r="L79" s="814">
        <f>Magic!$H591</f>
        <v>0</v>
      </c>
      <c r="M79" s="814"/>
      <c r="N79" s="499">
        <f>Magic!$I591</f>
        <v>0</v>
      </c>
    </row>
    <row r="80" spans="1:18" x14ac:dyDescent="0.2">
      <c r="A80" s="80" t="str">
        <f>Magic!$C592</f>
        <v>Un</v>
      </c>
      <c r="B80" s="79" t="str">
        <f>Magic!$A592&amp;". "&amp;Magic!$B592</f>
        <v>Rwd. Ward</v>
      </c>
      <c r="C80" s="79"/>
      <c r="D80" s="79"/>
      <c r="E80" s="79"/>
      <c r="F80" s="79"/>
      <c r="G80" s="498">
        <f>Magic!$D592</f>
        <v>12</v>
      </c>
      <c r="H80" s="498">
        <f>Magic!$E592</f>
        <v>1.7999999999999998</v>
      </c>
      <c r="I80" s="498">
        <f>Magic!$F592</f>
        <v>0.60000000000000009</v>
      </c>
      <c r="J80" s="814">
        <f>Magic!$G592</f>
        <v>0</v>
      </c>
      <c r="K80" s="814"/>
      <c r="L80" s="814">
        <f>Magic!$H592</f>
        <v>0</v>
      </c>
      <c r="M80" s="814"/>
      <c r="N80" s="499">
        <f>Magic!$I592</f>
        <v>0</v>
      </c>
    </row>
    <row r="82" spans="1:18" x14ac:dyDescent="0.2">
      <c r="A82" s="518" t="str">
        <f>"NB All of the above numbers are calculated based on a combat Encumbrance of "&amp;Bonuses!$C$3&amp;" lbs."</f>
        <v>NB All of the above numbers are calculated based on a combat Encumbrance of 25 lbs.</v>
      </c>
      <c r="B82" s="518"/>
      <c r="C82" s="518"/>
      <c r="D82" s="518"/>
      <c r="E82" s="518"/>
      <c r="F82" s="518"/>
      <c r="G82" s="518"/>
      <c r="H82" s="518"/>
      <c r="I82" s="518"/>
      <c r="J82" s="518"/>
      <c r="Q82" s="196"/>
      <c r="R82" s="537" t="str">
        <f>"NC: +"&amp;Bonuses!$D$3&amp;" lbs"</f>
        <v>NC: +34.8 lbs</v>
      </c>
    </row>
    <row r="83" spans="1:18" x14ac:dyDescent="0.2">
      <c r="A83" s="5"/>
      <c r="B83" s="5"/>
      <c r="E83" s="5"/>
      <c r="F83" s="5"/>
      <c r="G83" s="5"/>
      <c r="H83" s="519" t="s">
        <v>145</v>
      </c>
      <c r="I83" s="519" t="s">
        <v>285</v>
      </c>
      <c r="J83" s="5"/>
      <c r="Q83" s="519" t="s">
        <v>145</v>
      </c>
      <c r="R83" s="519" t="s">
        <v>285</v>
      </c>
    </row>
    <row r="84" spans="1:18" x14ac:dyDescent="0.2">
      <c r="A84" s="520" t="str">
        <f>Bonuses!$B16</f>
        <v>Hard Leather Armour AP 5 Wt 3 AG -1</v>
      </c>
      <c r="B84" s="521"/>
      <c r="C84" s="521"/>
      <c r="D84" s="521"/>
      <c r="E84" s="522"/>
      <c r="F84" s="521"/>
      <c r="G84" s="521"/>
      <c r="H84" s="523">
        <f>Bonuses!$C16</f>
        <v>18</v>
      </c>
      <c r="I84" s="524">
        <f>Bonuses!$D16</f>
        <v>0</v>
      </c>
      <c r="K84" s="520">
        <f>Bonuses!$B35</f>
        <v>0</v>
      </c>
      <c r="L84" s="521"/>
      <c r="M84" s="521"/>
      <c r="N84" s="521"/>
      <c r="O84" s="521"/>
      <c r="P84" s="521"/>
      <c r="Q84" s="523">
        <f>Bonuses!$C35</f>
        <v>0</v>
      </c>
      <c r="R84" s="524">
        <f>Bonuses!$D35</f>
        <v>0</v>
      </c>
    </row>
    <row r="85" spans="1:18" x14ac:dyDescent="0.2">
      <c r="A85" s="525" t="str">
        <f>Bonuses!$B17</f>
        <v>2nd Armour/Protection</v>
      </c>
      <c r="E85" s="34"/>
      <c r="H85" s="526">
        <f>Bonuses!$C17</f>
        <v>0</v>
      </c>
      <c r="I85" s="527">
        <f>Bonuses!$D17</f>
        <v>0</v>
      </c>
      <c r="K85" s="525">
        <f>Bonuses!$B36</f>
        <v>0</v>
      </c>
      <c r="Q85" s="526">
        <f>Bonuses!$C36</f>
        <v>0</v>
      </c>
      <c r="R85" s="527">
        <f>Bonuses!$D36</f>
        <v>0</v>
      </c>
    </row>
    <row r="86" spans="1:18" x14ac:dyDescent="0.2">
      <c r="A86" s="525" t="str">
        <f>Bonuses!$B18</f>
        <v>3rd Armour/Protection</v>
      </c>
      <c r="E86" s="34"/>
      <c r="H86" s="526">
        <f>Bonuses!$C18</f>
        <v>0</v>
      </c>
      <c r="I86" s="527">
        <f>Bonuses!$D18</f>
        <v>0</v>
      </c>
      <c r="K86" s="525" t="str">
        <f>Bonuses!$B34</f>
        <v>0 Wiccan Amulets</v>
      </c>
      <c r="Q86" s="526">
        <f>Bonuses!$C34</f>
        <v>0</v>
      </c>
      <c r="R86" s="527">
        <f>Bonuses!$D34</f>
        <v>0</v>
      </c>
    </row>
    <row r="87" spans="1:18" x14ac:dyDescent="0.2">
      <c r="A87" s="525">
        <f>Bonuses!$B19</f>
        <v>0</v>
      </c>
      <c r="E87" s="34"/>
      <c r="H87" s="526">
        <f>Bonuses!$C19</f>
        <v>0</v>
      </c>
      <c r="I87" s="527">
        <f>Bonuses!$D19</f>
        <v>0</v>
      </c>
      <c r="K87" s="525" t="str">
        <f>Bonuses!$B37</f>
        <v>Newhaven Starter Kit:</v>
      </c>
      <c r="Q87" s="526">
        <f>Bonuses!$C37</f>
        <v>0</v>
      </c>
      <c r="R87" s="527">
        <f>Bonuses!$D37</f>
        <v>0</v>
      </c>
    </row>
    <row r="88" spans="1:18" x14ac:dyDescent="0.2">
      <c r="A88" s="525">
        <f>Bonuses!$B20</f>
        <v>0</v>
      </c>
      <c r="E88" s="34"/>
      <c r="H88" s="526">
        <f>Bonuses!$C20</f>
        <v>0</v>
      </c>
      <c r="I88" s="527">
        <f>Bonuses!$D20</f>
        <v>0</v>
      </c>
      <c r="K88" s="525" t="str">
        <f>Bonuses!$B38</f>
        <v>Silvered Dagger</v>
      </c>
      <c r="Q88" s="526">
        <f>Bonuses!$C38</f>
        <v>1</v>
      </c>
      <c r="R88" s="527">
        <f>Bonuses!$D38</f>
        <v>0</v>
      </c>
    </row>
    <row r="89" spans="1:18" x14ac:dyDescent="0.2">
      <c r="A89" s="525">
        <f>Bonuses!$B21</f>
        <v>0</v>
      </c>
      <c r="E89" s="34"/>
      <c r="H89" s="526">
        <f>Bonuses!$C21</f>
        <v>0</v>
      </c>
      <c r="I89" s="527">
        <f>Bonuses!$D21</f>
        <v>0</v>
      </c>
      <c r="K89" s="525" t="str">
        <f>Bonuses!$B39</f>
        <v>Waters of Healing D-5+8  2  1</v>
      </c>
      <c r="Q89" s="526">
        <f>Bonuses!$C39</f>
        <v>1</v>
      </c>
      <c r="R89" s="527">
        <f>Bonuses!$D39</f>
        <v>0</v>
      </c>
    </row>
    <row r="90" spans="1:18" x14ac:dyDescent="0.2">
      <c r="A90" s="525">
        <f>Bonuses!$B22</f>
        <v>0</v>
      </c>
      <c r="E90" s="34"/>
      <c r="H90" s="526">
        <f>Bonuses!$C22</f>
        <v>0</v>
      </c>
      <c r="I90" s="527">
        <f>Bonuses!$D22</f>
        <v>0</v>
      </c>
      <c r="K90" s="525" t="str">
        <f>Bonuses!$B40</f>
        <v>Small Backpack, Leather 20lb capacity</v>
      </c>
      <c r="Q90" s="526">
        <f>Bonuses!$C40</f>
        <v>0</v>
      </c>
      <c r="R90" s="527">
        <f>Bonuses!$D40</f>
        <v>2</v>
      </c>
    </row>
    <row r="91" spans="1:18" x14ac:dyDescent="0.2">
      <c r="A91" s="525">
        <f>Bonuses!$B23</f>
        <v>0</v>
      </c>
      <c r="E91" s="34"/>
      <c r="H91" s="526">
        <f>Bonuses!$C23</f>
        <v>0</v>
      </c>
      <c r="I91" s="527">
        <f>Bonuses!$D23</f>
        <v>0</v>
      </c>
      <c r="K91" s="525" t="str">
        <f>Bonuses!$B41</f>
        <v>50' 1/2" Hemp Rope</v>
      </c>
      <c r="Q91" s="526">
        <f>Bonuses!$C41</f>
        <v>0</v>
      </c>
      <c r="R91" s="527">
        <f>Bonuses!$D41</f>
        <v>3</v>
      </c>
    </row>
    <row r="92" spans="1:18" x14ac:dyDescent="0.2">
      <c r="A92" s="525">
        <f>Bonuses!$B24</f>
        <v>0</v>
      </c>
      <c r="E92" s="34"/>
      <c r="H92" s="526">
        <f>Bonuses!$C24</f>
        <v>0</v>
      </c>
      <c r="I92" s="527">
        <f>Bonuses!$D24</f>
        <v>0</v>
      </c>
      <c r="K92" s="525" t="str">
        <f>Bonuses!$B42</f>
        <v>Light blanket</v>
      </c>
      <c r="Q92" s="526">
        <f>Bonuses!$C42</f>
        <v>0</v>
      </c>
      <c r="R92" s="527">
        <f>Bonuses!$D42</f>
        <v>2</v>
      </c>
    </row>
    <row r="93" spans="1:18" x14ac:dyDescent="0.2">
      <c r="A93" s="525">
        <f>Bonuses!$B25</f>
        <v>0</v>
      </c>
      <c r="E93" s="34"/>
      <c r="H93" s="526">
        <f>Bonuses!$C25</f>
        <v>0</v>
      </c>
      <c r="I93" s="527">
        <f>Bonuses!$D25</f>
        <v>0</v>
      </c>
      <c r="K93" s="525" t="str">
        <f>Bonuses!$B43</f>
        <v>Flint &amp; Steel</v>
      </c>
      <c r="Q93" s="526">
        <f>Bonuses!$C43</f>
        <v>0</v>
      </c>
      <c r="R93" s="527">
        <f>Bonuses!$D43</f>
        <v>0.5</v>
      </c>
    </row>
    <row r="94" spans="1:18" x14ac:dyDescent="0.2">
      <c r="A94" s="525">
        <f>Bonuses!$B26</f>
        <v>0</v>
      </c>
      <c r="E94" s="34"/>
      <c r="H94" s="526">
        <f>Bonuses!$C26</f>
        <v>0</v>
      </c>
      <c r="I94" s="527">
        <f>Bonuses!$D26</f>
        <v>0</v>
      </c>
      <c r="K94" s="525" t="str">
        <f>Bonuses!$B44</f>
        <v>Hand Axe</v>
      </c>
      <c r="Q94" s="526">
        <f>Bonuses!$C44</f>
        <v>0</v>
      </c>
      <c r="R94" s="527">
        <f>Bonuses!$D44</f>
        <v>2</v>
      </c>
    </row>
    <row r="95" spans="1:18" x14ac:dyDescent="0.2">
      <c r="A95" s="525">
        <f>Bonuses!$B27</f>
        <v>0</v>
      </c>
      <c r="E95" s="34"/>
      <c r="H95" s="526">
        <f>Bonuses!$C27</f>
        <v>0</v>
      </c>
      <c r="I95" s="527">
        <f>Bonuses!$D27</f>
        <v>0</v>
      </c>
      <c r="K95" s="525" t="str">
        <f>Bonuses!$B45</f>
        <v>Small fry pan</v>
      </c>
      <c r="Q95" s="526">
        <f>Bonuses!$C45</f>
        <v>0</v>
      </c>
      <c r="R95" s="527">
        <f>Bonuses!$D45</f>
        <v>2</v>
      </c>
    </row>
    <row r="96" spans="1:18" x14ac:dyDescent="0.2">
      <c r="A96" s="525">
        <f>Bonuses!$B28</f>
        <v>0</v>
      </c>
      <c r="E96" s="34"/>
      <c r="H96" s="526">
        <f>Bonuses!$C28</f>
        <v>0</v>
      </c>
      <c r="I96" s="527">
        <f>Bonuses!$D28</f>
        <v>0</v>
      </c>
      <c r="K96" s="525" t="str">
        <f>Bonuses!$B46</f>
        <v>Waterskin, 1 gallon</v>
      </c>
      <c r="Q96" s="526">
        <f>Bonuses!$C46</f>
        <v>0</v>
      </c>
      <c r="R96" s="527">
        <f>Bonuses!$D46</f>
        <v>9</v>
      </c>
    </row>
    <row r="97" spans="1:18" x14ac:dyDescent="0.2">
      <c r="A97" s="525">
        <f>Bonuses!$B29</f>
        <v>0</v>
      </c>
      <c r="E97" s="34"/>
      <c r="H97" s="526">
        <f>Bonuses!$C29</f>
        <v>0</v>
      </c>
      <c r="I97" s="527">
        <f>Bonuses!$D29</f>
        <v>0</v>
      </c>
      <c r="K97" s="525" t="str">
        <f>Bonuses!$B47</f>
        <v>Tallow Candles (1 hr) x 12</v>
      </c>
      <c r="Q97" s="526">
        <f>Bonuses!$C47</f>
        <v>0</v>
      </c>
      <c r="R97" s="527">
        <f>Bonuses!$D47</f>
        <v>2.25</v>
      </c>
    </row>
    <row r="98" spans="1:18" x14ac:dyDescent="0.2">
      <c r="A98" s="525">
        <f>Bonuses!$B30</f>
        <v>0</v>
      </c>
      <c r="E98" s="34"/>
      <c r="H98" s="526">
        <f>Bonuses!$C30</f>
        <v>0</v>
      </c>
      <c r="I98" s="527">
        <f>Bonuses!$D30</f>
        <v>0</v>
      </c>
      <c r="K98" s="525" t="str">
        <f>Bonuses!$B48</f>
        <v>Canvas Tarp</v>
      </c>
      <c r="Q98" s="526">
        <f>Bonuses!$C48</f>
        <v>0</v>
      </c>
      <c r="R98" s="527">
        <f>Bonuses!$D48</f>
        <v>8</v>
      </c>
    </row>
    <row r="99" spans="1:18" x14ac:dyDescent="0.2">
      <c r="A99" s="525">
        <f>Bonuses!$B31</f>
        <v>0</v>
      </c>
      <c r="E99" s="34"/>
      <c r="H99" s="526">
        <f>Bonuses!$C31</f>
        <v>0</v>
      </c>
      <c r="I99" s="527">
        <f>Bonuses!$D31</f>
        <v>0</v>
      </c>
      <c r="K99" s="525" t="str">
        <f>Bonuses!$B49</f>
        <v>Large Sack, 40lb capacity</v>
      </c>
      <c r="Q99" s="526">
        <f>Bonuses!$C49</f>
        <v>0</v>
      </c>
      <c r="R99" s="527">
        <f>Bonuses!$D49</f>
        <v>1</v>
      </c>
    </row>
    <row r="100" spans="1:18" x14ac:dyDescent="0.2">
      <c r="A100" s="525">
        <f>Bonuses!$B32</f>
        <v>0</v>
      </c>
      <c r="E100" s="34"/>
      <c r="H100" s="526">
        <f>Bonuses!$C32</f>
        <v>0</v>
      </c>
      <c r="I100" s="527">
        <f>Bonuses!$D32</f>
        <v>0</v>
      </c>
      <c r="K100" s="525" t="str">
        <f>Bonuses!$B50</f>
        <v>Pair of Walking Boots</v>
      </c>
      <c r="Q100" s="526">
        <f>Bonuses!$C50</f>
        <v>0</v>
      </c>
      <c r="R100" s="527">
        <f>Bonuses!$D50</f>
        <v>0</v>
      </c>
    </row>
    <row r="101" spans="1:18" x14ac:dyDescent="0.2">
      <c r="A101" s="528">
        <f>Bonuses!$B33</f>
        <v>0</v>
      </c>
      <c r="B101" s="529"/>
      <c r="C101" s="529"/>
      <c r="D101" s="529"/>
      <c r="E101" s="530"/>
      <c r="F101" s="529"/>
      <c r="G101" s="529"/>
      <c r="H101" s="531">
        <f>Bonuses!$C33</f>
        <v>0</v>
      </c>
      <c r="I101" s="532">
        <f>Bonuses!$D33</f>
        <v>0</v>
      </c>
      <c r="K101" s="528" t="str">
        <f>Bonuses!$B51</f>
        <v>Pitch torches x 3</v>
      </c>
      <c r="L101" s="529"/>
      <c r="M101" s="529"/>
      <c r="N101" s="529"/>
      <c r="O101" s="529"/>
      <c r="P101" s="529"/>
      <c r="Q101" s="531">
        <f>Bonuses!$C51</f>
        <v>0</v>
      </c>
      <c r="R101" s="532">
        <f>Bonuses!$D51</f>
        <v>3</v>
      </c>
    </row>
  </sheetData>
  <mergeCells count="70">
    <mergeCell ref="Q5:R6"/>
    <mergeCell ref="G2:H3"/>
    <mergeCell ref="I2:J3"/>
    <mergeCell ref="K2:L3"/>
    <mergeCell ref="M2:N3"/>
    <mergeCell ref="O2:P3"/>
    <mergeCell ref="Q2:R3"/>
    <mergeCell ref="G5:H6"/>
    <mergeCell ref="I5:J6"/>
    <mergeCell ref="K5:L6"/>
    <mergeCell ref="M5:N6"/>
    <mergeCell ref="O5:P6"/>
    <mergeCell ref="J33:K33"/>
    <mergeCell ref="L33:M33"/>
    <mergeCell ref="J34:K34"/>
    <mergeCell ref="L34:M34"/>
    <mergeCell ref="J35:K35"/>
    <mergeCell ref="L35:M35"/>
    <mergeCell ref="J36:K36"/>
    <mergeCell ref="L36:M36"/>
    <mergeCell ref="J37:K37"/>
    <mergeCell ref="L37:M37"/>
    <mergeCell ref="J38:K38"/>
    <mergeCell ref="L38:M38"/>
    <mergeCell ref="J39:K39"/>
    <mergeCell ref="L39:M39"/>
    <mergeCell ref="J40:K40"/>
    <mergeCell ref="L40:M40"/>
    <mergeCell ref="J41:K41"/>
    <mergeCell ref="L41:M41"/>
    <mergeCell ref="J42:K42"/>
    <mergeCell ref="L42:M42"/>
    <mergeCell ref="J43:K43"/>
    <mergeCell ref="L43:M43"/>
    <mergeCell ref="J44:K44"/>
    <mergeCell ref="L44:M44"/>
    <mergeCell ref="J45:K45"/>
    <mergeCell ref="L45:M45"/>
    <mergeCell ref="J46:K46"/>
    <mergeCell ref="L46:M46"/>
    <mergeCell ref="J47:K47"/>
    <mergeCell ref="L47:M47"/>
    <mergeCell ref="J48:K48"/>
    <mergeCell ref="L48:M48"/>
    <mergeCell ref="J49:K49"/>
    <mergeCell ref="L49:M49"/>
    <mergeCell ref="J50:K50"/>
    <mergeCell ref="L50:M50"/>
    <mergeCell ref="J51:K51"/>
    <mergeCell ref="L51:M51"/>
    <mergeCell ref="J52:K52"/>
    <mergeCell ref="L52:M52"/>
    <mergeCell ref="J53:K53"/>
    <mergeCell ref="L53:M53"/>
    <mergeCell ref="J54:K54"/>
    <mergeCell ref="L54:M54"/>
    <mergeCell ref="J74:K74"/>
    <mergeCell ref="L74:M74"/>
    <mergeCell ref="J75:K75"/>
    <mergeCell ref="L75:M75"/>
    <mergeCell ref="J79:K79"/>
    <mergeCell ref="L79:M79"/>
    <mergeCell ref="J80:K80"/>
    <mergeCell ref="L80:M80"/>
    <mergeCell ref="J76:K76"/>
    <mergeCell ref="L76:M76"/>
    <mergeCell ref="J77:K77"/>
    <mergeCell ref="L77:M77"/>
    <mergeCell ref="J78:K78"/>
    <mergeCell ref="L78:M78"/>
  </mergeCells>
  <pageMargins left="0.19685039370078741" right="0.19685039370078741" top="0.39370078740157483" bottom="0.39370078740157483" header="0.19685039370078741" footer="0.19685039370078741"/>
  <pageSetup paperSize="9" orientation="portrait" r:id="rId1"/>
  <rowBreaks count="1" manualBreakCount="1">
    <brk id="102" max="16383" man="1"/>
  </row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82"/>
  <sheetViews>
    <sheetView workbookViewId="0">
      <selection activeCell="E19" sqref="E19"/>
    </sheetView>
  </sheetViews>
  <sheetFormatPr defaultColWidth="9.140625" defaultRowHeight="12.75" x14ac:dyDescent="0.2"/>
  <cols>
    <col min="1" max="42" width="5.7109375" style="5" customWidth="1"/>
    <col min="43" max="43" width="6.28515625" style="5" customWidth="1"/>
    <col min="44" max="44" width="14.7109375" style="5" customWidth="1"/>
    <col min="45" max="16384" width="9.140625" style="5"/>
  </cols>
  <sheetData>
    <row r="1" spans="1:51" ht="15.75" x14ac:dyDescent="0.25">
      <c r="A1" s="834" t="str">
        <f>Setup!$B$2</f>
        <v>Character's name</v>
      </c>
      <c r="B1" s="100"/>
      <c r="C1" s="100"/>
      <c r="D1" s="100"/>
      <c r="E1" s="61"/>
      <c r="F1" s="98" t="str">
        <f>Stats!B1</f>
        <v>PS</v>
      </c>
      <c r="G1" s="98" t="str">
        <f>Stats!C1</f>
        <v>MD</v>
      </c>
      <c r="H1" s="98" t="str">
        <f>Stats!D1</f>
        <v>AG</v>
      </c>
      <c r="I1" s="98" t="str">
        <f>Stats!E1</f>
        <v>MA</v>
      </c>
      <c r="J1" s="98" t="str">
        <f>Stats!F1</f>
        <v>WP</v>
      </c>
      <c r="K1" s="98" t="str">
        <f>Stats!G1</f>
        <v>EN</v>
      </c>
      <c r="L1" s="98" t="str">
        <f>Stats!H1</f>
        <v>FT</v>
      </c>
      <c r="M1" s="98" t="str">
        <f>Stats!I1</f>
        <v>PC</v>
      </c>
      <c r="N1" s="98" t="str">
        <f>Stats!J1</f>
        <v>TMR</v>
      </c>
      <c r="O1" s="98" t="str">
        <f>Stats!K1</f>
        <v>PB</v>
      </c>
      <c r="P1" s="839"/>
      <c r="Q1" s="839"/>
      <c r="R1" s="839"/>
      <c r="S1" s="839"/>
      <c r="T1" s="839"/>
      <c r="U1" s="839"/>
      <c r="V1" s="839"/>
      <c r="W1" s="839"/>
      <c r="X1" s="839"/>
      <c r="Y1" s="839"/>
      <c r="Z1" s="839"/>
      <c r="AA1" s="839"/>
      <c r="AB1" s="839"/>
      <c r="AC1" s="47"/>
      <c r="AD1" s="47"/>
      <c r="AE1" s="31"/>
      <c r="AF1" s="286" t="s">
        <v>1181</v>
      </c>
      <c r="AG1" s="214" t="str">
        <f>Combat!$I$1</f>
        <v>35</v>
      </c>
      <c r="AH1" s="379" t="str">
        <f>"+"&amp;Bonuses!$U$3&amp;" vs Demonic"</f>
        <v>+0 vs Demonic</v>
      </c>
    </row>
    <row r="2" spans="1:51" s="62" customFormat="1" ht="15" x14ac:dyDescent="0.2">
      <c r="A2" s="835" t="str">
        <f>Setup!$B$3&amp;", "&amp;Setup!$B$5</f>
        <v>Human, Male</v>
      </c>
      <c r="B2" s="832"/>
      <c r="C2" s="832"/>
      <c r="D2" s="832"/>
      <c r="E2" s="60"/>
      <c r="F2" s="99">
        <f>Stats!B3</f>
        <v>15</v>
      </c>
      <c r="G2" s="99">
        <f>Stats!C3</f>
        <v>13</v>
      </c>
      <c r="H2" s="99">
        <f>Stats!D3</f>
        <v>11</v>
      </c>
      <c r="I2" s="99">
        <f>Stats!E3</f>
        <v>15</v>
      </c>
      <c r="J2" s="99">
        <f>Stats!F3</f>
        <v>15</v>
      </c>
      <c r="K2" s="99">
        <f>Stats!G3</f>
        <v>15</v>
      </c>
      <c r="L2" s="99">
        <f>Stats!H3</f>
        <v>20</v>
      </c>
      <c r="M2" s="99">
        <f>Stats!I3</f>
        <v>5</v>
      </c>
      <c r="N2" s="99">
        <f ca="1">Stats!J3</f>
        <v>4</v>
      </c>
      <c r="O2" s="99">
        <f>Stats!K3</f>
        <v>15</v>
      </c>
      <c r="P2" s="840"/>
      <c r="Q2" s="840"/>
      <c r="R2" s="840"/>
      <c r="S2" s="840"/>
      <c r="T2" s="840"/>
      <c r="U2" s="840"/>
      <c r="V2" s="840"/>
      <c r="W2" s="840"/>
      <c r="X2" s="840"/>
      <c r="Y2" s="840"/>
      <c r="Z2" s="840"/>
      <c r="AA2" s="840"/>
      <c r="AB2" s="840"/>
      <c r="AC2" s="46"/>
      <c r="AD2" s="43"/>
      <c r="AE2" s="5"/>
      <c r="AF2" s="5"/>
      <c r="AG2" s="304" t="str">
        <f>IF(Bonuses!U3&lt;&gt;0,"+"&amp;Bonuses!U3&amp;" v Dem.","")</f>
        <v/>
      </c>
      <c r="AH2" s="62" t="s">
        <v>1179</v>
      </c>
      <c r="AL2" s="196" t="s">
        <v>1251</v>
      </c>
      <c r="AM2" s="374">
        <f>Bonuses!$AN$3</f>
        <v>5</v>
      </c>
      <c r="AN2" s="5">
        <f>Bonuses!$W$3</f>
        <v>0</v>
      </c>
      <c r="AO2" s="5" t="str">
        <f>Bonuses!$W$2</f>
        <v>Damage Reduction vs Elemental</v>
      </c>
      <c r="AQ2" s="5">
        <f>Bonuses!BF3</f>
        <v>0</v>
      </c>
      <c r="AR2" s="5" t="str">
        <f>Bonuses!BF2</f>
        <v>Bleeding dmg/pulse Mod</v>
      </c>
      <c r="AY2" s="794" t="str">
        <f>""&amp;IF((Bonuses!V3+Bonuses!AP3)&lt;&gt;0,"
Magic DR "&amp;Bonuses!V3+Bonuses!AP3,"")&amp;IF(Bonuses!BK3&lt;&gt;0,"
Necrogeny "&amp;Bonuses!BK3,"")&amp;IF(Bonuses!BL3&lt;&gt;0,"
Reactions +"&amp;Bonuses!BL3&amp;"%","")</f>
        <v/>
      </c>
    </row>
    <row r="3" spans="1:51" s="62" customFormat="1" ht="14.25" x14ac:dyDescent="0.2">
      <c r="A3" s="835" t="str">
        <f>Setup!$B$7&amp;", "&amp;Setup!$B$8</f>
        <v>5' 9", 150 lbs</v>
      </c>
      <c r="E3" s="838" t="str">
        <f>Stats!A4</f>
        <v>1x</v>
      </c>
      <c r="F3" s="57">
        <f>Stats!B4</f>
        <v>15</v>
      </c>
      <c r="G3" s="57">
        <f>Stats!C4</f>
        <v>13</v>
      </c>
      <c r="H3" s="57">
        <f>Stats!D4</f>
        <v>11</v>
      </c>
      <c r="I3" s="57">
        <f>Stats!E4</f>
        <v>15</v>
      </c>
      <c r="J3" s="57">
        <f>Stats!F4</f>
        <v>15</v>
      </c>
      <c r="K3" s="57">
        <f>Stats!G4</f>
        <v>15</v>
      </c>
      <c r="L3" s="58"/>
      <c r="M3" s="57">
        <f>Stats!I4</f>
        <v>5</v>
      </c>
      <c r="N3" s="5"/>
      <c r="O3" s="31" t="s">
        <v>128</v>
      </c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E3" s="5"/>
      <c r="AF3" s="286" t="str">
        <f>Combat!$A$5</f>
        <v>Armour (AP) Ft/En</v>
      </c>
      <c r="AG3" s="194" t="str">
        <f>Combat!$B$5</f>
        <v>5 / 0</v>
      </c>
      <c r="AH3" s="284" t="str">
        <f>Combat!$A$1</f>
        <v>FT Dam</v>
      </c>
      <c r="AI3" s="284" t="str">
        <f>Combat!$A$2</f>
        <v>EN Dam</v>
      </c>
      <c r="AJ3" s="284" t="s">
        <v>1180</v>
      </c>
      <c r="AL3" s="196" t="s">
        <v>1250</v>
      </c>
      <c r="AM3" s="374">
        <f>Bonuses!$AO$3</f>
        <v>0</v>
      </c>
      <c r="AN3" s="5">
        <f>Bonuses!$X$3</f>
        <v>0</v>
      </c>
      <c r="AO3" s="5" t="str">
        <f>Bonuses!$X$2</f>
        <v>Damage Reduction vs Cold/Ice</v>
      </c>
      <c r="AQ3" s="5">
        <f>Bonuses!BG3</f>
        <v>0</v>
      </c>
      <c r="AR3" s="5" t="str">
        <f>Bonuses!BG2</f>
        <v>Poison dmg/pulse Mod</v>
      </c>
      <c r="AY3" s="795"/>
    </row>
    <row r="4" spans="1:51" s="62" customFormat="1" ht="14.25" x14ac:dyDescent="0.2">
      <c r="A4" s="836" t="str">
        <f>IF(Setup!$B$4&gt;"",Setup!$B$4,"Non-mage")</f>
        <v>Non-mage</v>
      </c>
      <c r="B4" s="833"/>
      <c r="C4" s="833"/>
      <c r="D4" s="833"/>
      <c r="E4" s="838" t="str">
        <f>Stats!A5</f>
        <v>2x</v>
      </c>
      <c r="F4" s="31">
        <f>Stats!B5</f>
        <v>30</v>
      </c>
      <c r="G4" s="31">
        <f>Stats!C5</f>
        <v>26</v>
      </c>
      <c r="H4" s="31">
        <f>Stats!D5</f>
        <v>22</v>
      </c>
      <c r="I4" s="31">
        <f>Stats!E5</f>
        <v>30</v>
      </c>
      <c r="J4" s="31">
        <f>Stats!F5</f>
        <v>30</v>
      </c>
      <c r="K4" s="31">
        <f>Stats!G5</f>
        <v>30</v>
      </c>
      <c r="L4" s="58"/>
      <c r="M4" s="31">
        <f>Stats!I5</f>
        <v>10</v>
      </c>
      <c r="N4" s="5"/>
      <c r="O4" s="31" t="s">
        <v>279</v>
      </c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E4" s="47"/>
      <c r="AF4" s="285" t="str">
        <f>Combat!$E$2</f>
        <v>Dmg to Stun:</v>
      </c>
      <c r="AG4" s="63">
        <f>Combat!$G$2</f>
        <v>6</v>
      </c>
      <c r="AH4" s="198"/>
      <c r="AI4" s="198"/>
      <c r="AJ4" s="43" t="str">
        <f>Combat!$C$1&amp;Combat!$C$2</f>
        <v/>
      </c>
      <c r="AL4" s="196" t="s">
        <v>1254</v>
      </c>
      <c r="AM4" s="374">
        <f>Bonuses!$V$3</f>
        <v>0</v>
      </c>
      <c r="AN4" s="5">
        <f>Bonuses!$Y$3</f>
        <v>0</v>
      </c>
      <c r="AO4" s="5" t="str">
        <f>Bonuses!$Y$2</f>
        <v>Damage Reduction vs Fire/Heat</v>
      </c>
      <c r="AQ4" s="5">
        <f>Bonuses!BH3</f>
        <v>0</v>
      </c>
      <c r="AR4" s="5" t="str">
        <f>Bonuses!BH2</f>
        <v>Infection Chance</v>
      </c>
      <c r="AY4" s="795"/>
    </row>
    <row r="5" spans="1:51" ht="14.25" x14ac:dyDescent="0.2">
      <c r="A5" s="835">
        <f>Setup!$B$9</f>
        <v>0</v>
      </c>
      <c r="E5" s="838" t="str">
        <f>Stats!A6</f>
        <v>3x</v>
      </c>
      <c r="F5" s="57">
        <f>Stats!B6</f>
        <v>45</v>
      </c>
      <c r="G5" s="57">
        <f>Stats!C6</f>
        <v>39</v>
      </c>
      <c r="H5" s="57">
        <f>Stats!D6</f>
        <v>33</v>
      </c>
      <c r="I5" s="57">
        <f>Stats!E6</f>
        <v>45</v>
      </c>
      <c r="J5" s="57">
        <f>Stats!F6</f>
        <v>45</v>
      </c>
      <c r="K5" s="57">
        <f>Stats!G6</f>
        <v>45</v>
      </c>
      <c r="L5" s="58"/>
      <c r="M5" s="57">
        <f>Stats!I6</f>
        <v>15</v>
      </c>
      <c r="O5" s="3" t="str">
        <f>ROUND(Bonuses!$C$3,1)&amp;" lbs"</f>
        <v>25 lbs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1"/>
      <c r="AE5" s="62"/>
      <c r="AF5" s="286" t="str">
        <f>Combat!$E$1</f>
        <v>Stun Rec %</v>
      </c>
      <c r="AG5" s="43">
        <f>Combat!$G$1</f>
        <v>50</v>
      </c>
      <c r="AL5" s="196" t="s">
        <v>1253</v>
      </c>
      <c r="AM5" s="374">
        <f>Bonuses!$AP$3</f>
        <v>0</v>
      </c>
      <c r="AN5" s="5">
        <f>Bonuses!$Z$3</f>
        <v>0</v>
      </c>
      <c r="AO5" s="5" t="str">
        <f>Bonuses!$Z$2</f>
        <v>Cold Protection (Temp Gauge)</v>
      </c>
      <c r="AQ5" s="5">
        <f>Bonuses!BI3</f>
        <v>0</v>
      </c>
      <c r="AR5" s="5" t="str">
        <f>Bonuses!BI2</f>
        <v>Fear Resistance Rolls</v>
      </c>
      <c r="AY5" s="795"/>
    </row>
    <row r="6" spans="1:51" ht="14.25" x14ac:dyDescent="0.2">
      <c r="A6" s="832" t="str">
        <f>Setup!$B$10&amp;".  "&amp;Setup!$B$11</f>
        <v>Adventurer.  5th</v>
      </c>
      <c r="E6" s="838" t="str">
        <f>Stats!A7</f>
        <v>4x</v>
      </c>
      <c r="F6" s="31">
        <f>Stats!B7</f>
        <v>60</v>
      </c>
      <c r="G6" s="31">
        <f>Stats!C7</f>
        <v>52</v>
      </c>
      <c r="H6" s="31">
        <f>Stats!D7</f>
        <v>44</v>
      </c>
      <c r="I6" s="31">
        <f>Stats!E7</f>
        <v>60</v>
      </c>
      <c r="J6" s="31">
        <f>Stats!F7</f>
        <v>60</v>
      </c>
      <c r="K6" s="31">
        <f>Stats!G7</f>
        <v>60</v>
      </c>
      <c r="L6" s="58"/>
      <c r="M6" s="31">
        <f>Stats!I7</f>
        <v>20</v>
      </c>
      <c r="N6" s="64" t="str">
        <f>IF(ISERROR(Combat!$L$1*1),"",Combat!$K$1)</f>
        <v/>
      </c>
      <c r="O6" s="63" t="str">
        <f>IF(ISERROR(Combat!$L$1*1),"",Combat!$L$1)</f>
        <v/>
      </c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31"/>
      <c r="AD6" s="31"/>
      <c r="AE6" s="46"/>
      <c r="AF6" s="286" t="str">
        <f>Combat!$E$3</f>
        <v>Dmg to -1:</v>
      </c>
      <c r="AG6" s="43">
        <f>Combat!$G$3</f>
        <v>35</v>
      </c>
      <c r="AL6" s="196" t="s">
        <v>1252</v>
      </c>
      <c r="AM6" s="374">
        <f>Bonuses!$BK$3</f>
        <v>0</v>
      </c>
      <c r="AN6" s="5">
        <f>Bonuses!$AB$3</f>
        <v>0</v>
      </c>
      <c r="AO6" s="5" t="str">
        <f>Bonuses!$AB$2</f>
        <v>Heat Protection (Temp Gauge)</v>
      </c>
      <c r="AQ6" s="5">
        <f>Bonuses!BJ3</f>
        <v>0</v>
      </c>
      <c r="AR6" s="5" t="str">
        <f>Bonuses!BJ2</f>
        <v>Fear Table Roll</v>
      </c>
      <c r="AY6" s="795"/>
    </row>
    <row r="7" spans="1:51" ht="14.25" x14ac:dyDescent="0.2">
      <c r="A7" s="62" t="str">
        <f>IF(LEFT(Setup!B6,1)="A",Setup!B6,Setup!B6&amp;" handed")</f>
        <v>Right handed</v>
      </c>
      <c r="E7" s="838" t="str">
        <f>Stats!A8</f>
        <v>5x</v>
      </c>
      <c r="F7" s="57">
        <f>Stats!B8</f>
        <v>75</v>
      </c>
      <c r="G7" s="57">
        <f>Stats!C8</f>
        <v>65</v>
      </c>
      <c r="H7" s="57">
        <f>Stats!D8</f>
        <v>55</v>
      </c>
      <c r="I7" s="57">
        <f>Stats!E8</f>
        <v>75</v>
      </c>
      <c r="J7" s="57">
        <f>Stats!F8</f>
        <v>75</v>
      </c>
      <c r="K7" s="57">
        <f>Stats!G8</f>
        <v>75</v>
      </c>
      <c r="L7" s="58"/>
      <c r="M7" s="57">
        <f>Stats!I8</f>
        <v>25</v>
      </c>
      <c r="N7" s="66" t="str">
        <f>IF(ISERROR(Combat!$L$2*1),"",Combat!$K$2)</f>
        <v/>
      </c>
      <c r="O7" s="43" t="str">
        <f>IF(ISERROR(Combat!$L$2*1),"",Combat!$L$2)</f>
        <v/>
      </c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3"/>
      <c r="AE7" s="62"/>
      <c r="AF7" s="286" t="str">
        <f>Combat!$H$3</f>
        <v>.. to kill</v>
      </c>
      <c r="AG7" s="43">
        <f>Combat!$I$3</f>
        <v>43</v>
      </c>
      <c r="AY7" s="795"/>
    </row>
    <row r="8" spans="1:51" x14ac:dyDescent="0.2">
      <c r="AC8" s="828" t="str">
        <f>Combat!A3&amp;":"</f>
        <v>Unengaged IV:</v>
      </c>
      <c r="AD8" s="828"/>
      <c r="AE8" s="828"/>
      <c r="AF8" s="286" t="str">
        <f>Combat!H2</f>
        <v>Die At</v>
      </c>
      <c r="AG8" s="43">
        <f>Combat!I2</f>
        <v>-8</v>
      </c>
      <c r="AL8" s="196" t="s">
        <v>1241</v>
      </c>
      <c r="AM8" s="378">
        <f>Bonuses!$BL$3</f>
        <v>0</v>
      </c>
      <c r="AY8" s="796"/>
    </row>
    <row r="9" spans="1:51" x14ac:dyDescent="0.2">
      <c r="AC9" s="798" t="str">
        <f>Combat!B3</f>
        <v>5 + D10</v>
      </c>
      <c r="AD9" s="798"/>
      <c r="AE9" s="798"/>
    </row>
    <row r="10" spans="1:51" ht="2.1" customHeight="1" x14ac:dyDescent="0.2">
      <c r="J10" s="43"/>
      <c r="K10" s="286"/>
      <c r="L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</row>
    <row r="11" spans="1:51" x14ac:dyDescent="0.2">
      <c r="A11" s="837" t="str">
        <f>Combat!A4</f>
        <v>Defence</v>
      </c>
      <c r="B11" s="65"/>
      <c r="C11" s="65"/>
      <c r="D11" s="65"/>
      <c r="E11" s="159">
        <f>Combat!B4</f>
        <v>11</v>
      </c>
      <c r="F11" s="160"/>
      <c r="G11" s="161">
        <f>Combat!D4</f>
        <v>11</v>
      </c>
      <c r="H11" s="161">
        <f ca="1">Combat!E4</f>
        <v>11</v>
      </c>
      <c r="I11" s="162" t="str">
        <f ca="1">Combat!F4</f>
        <v>+10-10</v>
      </c>
      <c r="J11" s="193">
        <f>Combat!G4</f>
        <v>11</v>
      </c>
      <c r="K11" s="163"/>
      <c r="L11" s="164">
        <f>Combat!I4</f>
        <v>11</v>
      </c>
      <c r="M11" s="164">
        <f ca="1">Combat!J4</f>
        <v>11</v>
      </c>
      <c r="N11" s="165" t="str">
        <f>Combat!K4</f>
        <v>+20</v>
      </c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</row>
    <row r="12" spans="1:51" x14ac:dyDescent="0.2">
      <c r="A12" s="65"/>
      <c r="B12" s="65"/>
      <c r="C12" s="65"/>
      <c r="D12" s="65"/>
      <c r="E12" s="191"/>
      <c r="F12" s="791" t="str">
        <f>Combat!C5</f>
        <v>Melee</v>
      </c>
      <c r="G12" s="791"/>
      <c r="H12" s="69" t="str">
        <f>Combat!E5</f>
        <v>(Shield)</v>
      </c>
      <c r="I12" s="69" t="str">
        <f>Combat!F5</f>
        <v>(Evade)</v>
      </c>
      <c r="J12" s="792" t="str">
        <f>Combat!G5</f>
        <v>Close</v>
      </c>
      <c r="K12" s="792"/>
      <c r="L12" s="305" t="str">
        <f>Combat!I5</f>
        <v>Ranged</v>
      </c>
      <c r="M12" s="306" t="str">
        <f>Combat!J3</f>
        <v>(Shield)</v>
      </c>
      <c r="N12" s="306" t="str">
        <f>Combat!K3</f>
        <v>(Evade)</v>
      </c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199"/>
      <c r="Z12" s="199"/>
      <c r="AA12" s="199"/>
      <c r="AB12" s="199"/>
      <c r="AC12" s="199"/>
      <c r="AD12" s="199"/>
      <c r="AE12" s="199"/>
      <c r="AF12" s="199"/>
      <c r="AG12" s="199"/>
    </row>
    <row r="13" spans="1:51" x14ac:dyDescent="0.2">
      <c r="A13" s="70" t="str">
        <f>Combat!B6</f>
        <v>Rk</v>
      </c>
      <c r="B13" s="200" t="str">
        <f>Combat!A6</f>
        <v>Weapon</v>
      </c>
      <c r="C13" s="200"/>
      <c r="D13" s="200"/>
      <c r="F13" s="70" t="str">
        <f>Combat!C6</f>
        <v>IV</v>
      </c>
      <c r="G13" s="70" t="str">
        <f>Combat!D6</f>
        <v>SC%</v>
      </c>
      <c r="H13" s="70" t="str">
        <f>Combat!E6</f>
        <v>Dam</v>
      </c>
      <c r="I13" s="70" t="str">
        <f>Combat!F6</f>
        <v>Class</v>
      </c>
      <c r="J13" s="70" t="str">
        <f>Combat!G6</f>
        <v>IV</v>
      </c>
      <c r="K13" s="70" t="str">
        <f>Combat!H6</f>
        <v>SC</v>
      </c>
      <c r="L13" s="70" t="str">
        <f>Combat!I6</f>
        <v>Rng</v>
      </c>
      <c r="M13" s="70" t="str">
        <f>Combat!J6</f>
        <v>IV</v>
      </c>
      <c r="N13" s="70" t="str">
        <f>Combat!K6</f>
        <v>SC</v>
      </c>
      <c r="O13" s="70" t="str">
        <f>Combat!L6</f>
        <v>Evade+</v>
      </c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</row>
    <row r="14" spans="1:51" x14ac:dyDescent="0.2">
      <c r="A14" s="43" t="str">
        <f ca="1">Combat!B7</f>
        <v>Un</v>
      </c>
      <c r="B14" s="201" t="str">
        <f>Combat!A7</f>
        <v>Unarmed</v>
      </c>
      <c r="C14" s="201"/>
      <c r="D14" s="201"/>
      <c r="F14" s="71">
        <f ca="1">Combat!C7</f>
        <v>16</v>
      </c>
      <c r="G14" s="71">
        <f ca="1">Combat!D7</f>
        <v>22</v>
      </c>
      <c r="H14" s="43">
        <f ca="1">Combat!E7</f>
        <v>-4</v>
      </c>
      <c r="I14" s="43" t="str">
        <f ca="1">Combat!F7</f>
        <v>C</v>
      </c>
      <c r="J14" s="71">
        <f ca="1">Combat!G7</f>
        <v>16</v>
      </c>
      <c r="K14" s="71">
        <f ca="1">Combat!H7</f>
        <v>22</v>
      </c>
      <c r="L14" s="192" t="str">
        <f ca="1">Combat!I7</f>
        <v/>
      </c>
      <c r="M14" s="71" t="str">
        <f ca="1">Combat!J7</f>
        <v/>
      </c>
      <c r="N14" s="71" t="str">
        <f ca="1">Combat!K7</f>
        <v/>
      </c>
      <c r="O14" s="71">
        <f ca="1">Combat!L7</f>
        <v>10</v>
      </c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</row>
    <row r="15" spans="1:51" x14ac:dyDescent="0.2">
      <c r="A15" s="43" t="str">
        <f ca="1">Combat!B8</f>
        <v>Un</v>
      </c>
      <c r="B15" s="201" t="str">
        <f ca="1">Combat!A8&amp;IF(Combat!Z8&gt;""," ("&amp;Combat!Z8&amp;")","")</f>
        <v>Small Round</v>
      </c>
      <c r="C15" s="201"/>
      <c r="D15" s="201"/>
      <c r="F15" s="71">
        <f ca="1">Combat!C8</f>
        <v>16</v>
      </c>
      <c r="G15" s="71">
        <f ca="1">Combat!D8</f>
        <v>40</v>
      </c>
      <c r="H15" s="43">
        <f ca="1">Combat!E8</f>
        <v>-1</v>
      </c>
      <c r="I15" s="43" t="str">
        <f ca="1">Combat!F8</f>
        <v>C</v>
      </c>
      <c r="J15" s="71" t="str">
        <f ca="1">Combat!G8</f>
        <v/>
      </c>
      <c r="K15" s="71" t="str">
        <f ca="1">Combat!H8</f>
        <v/>
      </c>
      <c r="L15" s="192" t="str">
        <f ca="1">Combat!I8</f>
        <v/>
      </c>
      <c r="M15" s="71" t="str">
        <f ca="1">Combat!J8</f>
        <v/>
      </c>
      <c r="N15" s="71" t="str">
        <f ca="1">Combat!K8</f>
        <v/>
      </c>
      <c r="O15" s="71">
        <f ca="1">Combat!L8</f>
        <v>10</v>
      </c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</row>
    <row r="16" spans="1:51" x14ac:dyDescent="0.2">
      <c r="A16" s="43" t="str">
        <f ca="1">Combat!B9</f>
        <v>Un</v>
      </c>
      <c r="B16" s="201" t="str">
        <f ca="1">Combat!A9&amp;IF(Combat!Z9&gt;""," ("&amp;Combat!Z9&amp;")","")</f>
        <v>Battle Axe (1-2)</v>
      </c>
      <c r="C16" s="201"/>
      <c r="D16" s="201"/>
      <c r="F16" s="71">
        <f ca="1">Combat!C9</f>
        <v>16</v>
      </c>
      <c r="G16" s="71">
        <f ca="1">Combat!D9</f>
        <v>60</v>
      </c>
      <c r="H16" s="43">
        <f ca="1">Combat!E9</f>
        <v>4</v>
      </c>
      <c r="I16" s="43" t="str">
        <f ca="1">Combat!F9</f>
        <v>B</v>
      </c>
      <c r="J16" s="71" t="str">
        <f ca="1">Combat!G9</f>
        <v/>
      </c>
      <c r="K16" s="71" t="str">
        <f ca="1">Combat!H9</f>
        <v/>
      </c>
      <c r="L16" s="192" t="str">
        <f ca="1">Combat!I9</f>
        <v>6 hx</v>
      </c>
      <c r="M16" s="71">
        <f ca="1">Combat!J9</f>
        <v>16</v>
      </c>
      <c r="N16" s="71">
        <f ca="1">Combat!K9</f>
        <v>60</v>
      </c>
      <c r="O16" s="71">
        <f ca="1">Combat!L9</f>
        <v>10</v>
      </c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</row>
    <row r="17" spans="1:33" x14ac:dyDescent="0.2">
      <c r="A17" s="43" t="str">
        <f ca="1">Combat!B10</f>
        <v>Un</v>
      </c>
      <c r="B17" s="201" t="str">
        <f ca="1">Combat!A10&amp;IF(Combat!Z10&gt;""," ("&amp;Combat!Z10&amp;")","")</f>
        <v>Falchion</v>
      </c>
      <c r="C17" s="201"/>
      <c r="D17" s="201"/>
      <c r="F17" s="71">
        <f ca="1">Combat!C10</f>
        <v>16</v>
      </c>
      <c r="G17" s="71">
        <f ca="1">Combat!D10</f>
        <v>50</v>
      </c>
      <c r="H17" s="43">
        <f ca="1">Combat!E10</f>
        <v>2</v>
      </c>
      <c r="I17" s="43" t="str">
        <f ca="1">Combat!F10</f>
        <v>B</v>
      </c>
      <c r="J17" s="71" t="str">
        <f ca="1">Combat!G10</f>
        <v/>
      </c>
      <c r="K17" s="71" t="str">
        <f ca="1">Combat!H10</f>
        <v/>
      </c>
      <c r="L17" s="192" t="str">
        <f ca="1">Combat!I10</f>
        <v/>
      </c>
      <c r="M17" s="71" t="str">
        <f ca="1">Combat!J10</f>
        <v/>
      </c>
      <c r="N17" s="71" t="str">
        <f ca="1">Combat!K10</f>
        <v/>
      </c>
      <c r="O17" s="71">
        <f ca="1">Combat!L10</f>
        <v>10</v>
      </c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</row>
    <row r="18" spans="1:33" x14ac:dyDescent="0.2">
      <c r="A18" s="43" t="str">
        <f ca="1">Combat!B11</f>
        <v>Un</v>
      </c>
      <c r="B18" s="201" t="str">
        <f ca="1">Combat!A11&amp;IF(Combat!Z11&gt;""," ("&amp;Combat!Z11&amp;")","")</f>
        <v>Dagger</v>
      </c>
      <c r="C18" s="201"/>
      <c r="D18" s="201"/>
      <c r="F18" s="71">
        <f ca="1">Combat!C11</f>
        <v>16</v>
      </c>
      <c r="G18" s="71">
        <f ca="1">Combat!D11</f>
        <v>40</v>
      </c>
      <c r="H18" s="43">
        <f ca="1">Combat!E11</f>
        <v>1</v>
      </c>
      <c r="I18" s="43" t="str">
        <f ca="1">Combat!F11</f>
        <v>A</v>
      </c>
      <c r="J18" s="71">
        <f ca="1">Combat!G11</f>
        <v>16</v>
      </c>
      <c r="K18" s="71">
        <f ca="1">Combat!H11</f>
        <v>40</v>
      </c>
      <c r="L18" s="192" t="str">
        <f ca="1">Combat!I11</f>
        <v>8 hx</v>
      </c>
      <c r="M18" s="71">
        <f ca="1">Combat!J11</f>
        <v>16</v>
      </c>
      <c r="N18" s="71">
        <f ca="1">Combat!K11</f>
        <v>40</v>
      </c>
      <c r="O18" s="71">
        <f ca="1">Combat!L11</f>
        <v>10</v>
      </c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</row>
    <row r="19" spans="1:33" x14ac:dyDescent="0.2">
      <c r="A19" s="43" t="str">
        <f ca="1">Combat!B12</f>
        <v>Un</v>
      </c>
      <c r="B19" s="201" t="str">
        <f ca="1">Combat!A12&amp;IF(Combat!Z12&gt;""," ("&amp;Combat!Z12&amp;")","")</f>
        <v>Tulwar</v>
      </c>
      <c r="C19" s="201"/>
      <c r="D19" s="201"/>
      <c r="F19" s="71">
        <f ca="1">Combat!C12</f>
        <v>16</v>
      </c>
      <c r="G19" s="71">
        <f ca="1">Combat!D12</f>
        <v>50</v>
      </c>
      <c r="H19" s="43">
        <f ca="1">Combat!E12</f>
        <v>4</v>
      </c>
      <c r="I19" s="43" t="str">
        <f ca="1">Combat!F12</f>
        <v>B</v>
      </c>
      <c r="J19" s="71" t="str">
        <f ca="1">Combat!G12</f>
        <v/>
      </c>
      <c r="K19" s="71" t="str">
        <f ca="1">Combat!H12</f>
        <v/>
      </c>
      <c r="L19" s="192" t="str">
        <f ca="1">Combat!I12</f>
        <v/>
      </c>
      <c r="M19" s="71" t="str">
        <f ca="1">Combat!J12</f>
        <v/>
      </c>
      <c r="N19" s="71" t="str">
        <f ca="1">Combat!K12</f>
        <v/>
      </c>
      <c r="O19" s="71">
        <f ca="1">Combat!L12</f>
        <v>10</v>
      </c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</row>
    <row r="20" spans="1:33" x14ac:dyDescent="0.2">
      <c r="A20" s="43" t="str">
        <f ca="1">Combat!B13</f>
        <v>Un</v>
      </c>
      <c r="B20" s="201" t="str">
        <f ca="1">Combat!A13&amp;IF(Combat!Z13&gt;""," ("&amp;Combat!Z13&amp;")","")</f>
        <v>Sabre</v>
      </c>
      <c r="C20" s="201"/>
      <c r="D20" s="201"/>
      <c r="F20" s="71">
        <f ca="1">Combat!C13</f>
        <v>16</v>
      </c>
      <c r="G20" s="71">
        <f ca="1">Combat!D13</f>
        <v>60</v>
      </c>
      <c r="H20" s="43">
        <f ca="1">Combat!E13</f>
        <v>3</v>
      </c>
      <c r="I20" s="43" t="str">
        <f ca="1">Combat!F13</f>
        <v>B</v>
      </c>
      <c r="J20" s="71" t="str">
        <f ca="1">Combat!G13</f>
        <v/>
      </c>
      <c r="K20" s="71" t="str">
        <f ca="1">Combat!H13</f>
        <v/>
      </c>
      <c r="L20" s="192" t="str">
        <f ca="1">Combat!I13</f>
        <v/>
      </c>
      <c r="M20" s="71" t="str">
        <f ca="1">Combat!J13</f>
        <v/>
      </c>
      <c r="N20" s="71" t="str">
        <f ca="1">Combat!K13</f>
        <v/>
      </c>
      <c r="O20" s="71">
        <f ca="1">Combat!L13</f>
        <v>10</v>
      </c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</row>
    <row r="21" spans="1:33" x14ac:dyDescent="0.2">
      <c r="A21" s="43" t="str">
        <f ca="1">Combat!B14</f>
        <v>Un</v>
      </c>
      <c r="B21" s="201" t="str">
        <f ca="1">Combat!A14&amp;IF(Combat!Z14&gt;""," ("&amp;Combat!Z14&amp;")","")</f>
        <v>Broadsword</v>
      </c>
      <c r="C21" s="201"/>
      <c r="D21" s="201"/>
      <c r="F21" s="71">
        <f ca="1">Combat!C14</f>
        <v>16</v>
      </c>
      <c r="G21" s="71">
        <f ca="1">Combat!D14</f>
        <v>55</v>
      </c>
      <c r="H21" s="43">
        <f ca="1">Combat!E14</f>
        <v>4</v>
      </c>
      <c r="I21" s="43" t="str">
        <f ca="1">Combat!F14</f>
        <v>B</v>
      </c>
      <c r="J21" s="71" t="str">
        <f ca="1">Combat!G14</f>
        <v/>
      </c>
      <c r="K21" s="71" t="str">
        <f ca="1">Combat!H14</f>
        <v/>
      </c>
      <c r="L21" s="192" t="str">
        <f ca="1">Combat!I14</f>
        <v/>
      </c>
      <c r="M21" s="71" t="str">
        <f ca="1">Combat!J14</f>
        <v/>
      </c>
      <c r="N21" s="71" t="str">
        <f ca="1">Combat!K14</f>
        <v/>
      </c>
      <c r="O21" s="71">
        <f ca="1">Combat!L14</f>
        <v>10</v>
      </c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</row>
    <row r="22" spans="1:33" x14ac:dyDescent="0.2">
      <c r="A22" s="43" t="str">
        <f ca="1">Combat!B15</f>
        <v>Un</v>
      </c>
      <c r="B22" s="201" t="str">
        <f ca="1">Combat!A15&amp;IF(Combat!Z15&gt;""," ("&amp;Combat!Z15&amp;")","")</f>
        <v>Estoc</v>
      </c>
      <c r="C22" s="201"/>
      <c r="D22" s="201"/>
      <c r="F22" s="71">
        <f ca="1">Combat!C15</f>
        <v>16</v>
      </c>
      <c r="G22" s="71">
        <f ca="1">Combat!D15</f>
        <v>45</v>
      </c>
      <c r="H22" s="43">
        <f ca="1">Combat!E15</f>
        <v>5</v>
      </c>
      <c r="I22" s="43" t="str">
        <f ca="1">Combat!F15</f>
        <v>A</v>
      </c>
      <c r="J22" s="71" t="str">
        <f ca="1">Combat!G15</f>
        <v/>
      </c>
      <c r="K22" s="71" t="str">
        <f ca="1">Combat!H15</f>
        <v/>
      </c>
      <c r="L22" s="192" t="str">
        <f ca="1">Combat!I15</f>
        <v/>
      </c>
      <c r="M22" s="71" t="str">
        <f ca="1">Combat!J15</f>
        <v/>
      </c>
      <c r="N22" s="71" t="str">
        <f ca="1">Combat!K15</f>
        <v/>
      </c>
      <c r="O22" s="71">
        <f ca="1">Combat!L15</f>
        <v>10</v>
      </c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</row>
    <row r="23" spans="1:33" x14ac:dyDescent="0.2">
      <c r="A23" s="43" t="str">
        <f ca="1">Combat!B16</f>
        <v>Un</v>
      </c>
      <c r="B23" s="201" t="str">
        <f ca="1">Combat!A16&amp;IF(Combat!Z16&gt;""," ("&amp;Combat!Z16&amp;")","")</f>
        <v>War Hammer</v>
      </c>
      <c r="C23" s="201"/>
      <c r="D23" s="201"/>
      <c r="F23" s="71">
        <f ca="1">Combat!C16</f>
        <v>16</v>
      </c>
      <c r="G23" s="71">
        <f ca="1">Combat!D16</f>
        <v>45</v>
      </c>
      <c r="H23" s="43">
        <f ca="1">Combat!E16</f>
        <v>3</v>
      </c>
      <c r="I23" s="43" t="str">
        <f ca="1">Combat!F16</f>
        <v>C</v>
      </c>
      <c r="J23" s="71" t="str">
        <f ca="1">Combat!G16</f>
        <v/>
      </c>
      <c r="K23" s="71" t="str">
        <f ca="1">Combat!H16</f>
        <v/>
      </c>
      <c r="L23" s="192" t="str">
        <f ca="1">Combat!I16</f>
        <v>6 hx</v>
      </c>
      <c r="M23" s="71">
        <f ca="1">Combat!J16</f>
        <v>16</v>
      </c>
      <c r="N23" s="71">
        <f ca="1">Combat!K16</f>
        <v>45</v>
      </c>
      <c r="O23" s="71">
        <f ca="1">Combat!L16</f>
        <v>10</v>
      </c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</row>
    <row r="24" spans="1:33" x14ac:dyDescent="0.2">
      <c r="A24" s="43" t="str">
        <f ca="1">Combat!B17</f>
        <v>Un</v>
      </c>
      <c r="B24" s="201" t="str">
        <f ca="1">Combat!A17&amp;IF(Combat!Z17&gt;""," ("&amp;Combat!Z17&amp;")","")</f>
        <v>Javelin</v>
      </c>
      <c r="C24" s="201"/>
      <c r="D24" s="201"/>
      <c r="F24" s="71">
        <f ca="1">Combat!C17</f>
        <v>16</v>
      </c>
      <c r="G24" s="71">
        <f ca="1">Combat!D17</f>
        <v>45</v>
      </c>
      <c r="H24" s="43">
        <f ca="1">Combat!E17</f>
        <v>2</v>
      </c>
      <c r="I24" s="43" t="str">
        <f ca="1">Combat!F17</f>
        <v>A</v>
      </c>
      <c r="J24" s="71" t="str">
        <f ca="1">Combat!G17</f>
        <v/>
      </c>
      <c r="K24" s="71" t="str">
        <f ca="1">Combat!H17</f>
        <v/>
      </c>
      <c r="L24" s="192" t="str">
        <f ca="1">Combat!I17</f>
        <v>12 hx</v>
      </c>
      <c r="M24" s="71">
        <f ca="1">Combat!J17</f>
        <v>16</v>
      </c>
      <c r="N24" s="71">
        <f ca="1">Combat!K17</f>
        <v>45</v>
      </c>
      <c r="O24" s="71">
        <f ca="1">Combat!L17</f>
        <v>10</v>
      </c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</row>
    <row r="25" spans="1:33" x14ac:dyDescent="0.2">
      <c r="A25" s="43" t="str">
        <f ca="1">Combat!B18</f>
        <v>Un</v>
      </c>
      <c r="B25" s="201" t="str">
        <f ca="1">Combat!A18&amp;IF(Combat!Z18&gt;""," ("&amp;Combat!Z18&amp;")","")</f>
        <v>Quarterstaff (2)</v>
      </c>
      <c r="C25" s="201"/>
      <c r="D25" s="201"/>
      <c r="F25" s="71">
        <f ca="1">Combat!C18</f>
        <v>16</v>
      </c>
      <c r="G25" s="71">
        <f ca="1">Combat!D18</f>
        <v>55</v>
      </c>
      <c r="H25" s="43">
        <f ca="1">Combat!E18</f>
        <v>2</v>
      </c>
      <c r="I25" s="43" t="str">
        <f ca="1">Combat!F18</f>
        <v>C</v>
      </c>
      <c r="J25" s="71" t="str">
        <f ca="1">Combat!G18</f>
        <v/>
      </c>
      <c r="K25" s="71" t="str">
        <f ca="1">Combat!H18</f>
        <v/>
      </c>
      <c r="L25" s="192" t="str">
        <f ca="1">Combat!I18</f>
        <v/>
      </c>
      <c r="M25" s="71" t="str">
        <f ca="1">Combat!J18</f>
        <v/>
      </c>
      <c r="N25" s="71" t="str">
        <f ca="1">Combat!K18</f>
        <v/>
      </c>
      <c r="O25" s="71">
        <f ca="1">Combat!L18</f>
        <v>10</v>
      </c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</row>
    <row r="26" spans="1:33" x14ac:dyDescent="0.2">
      <c r="A26" s="43" t="str">
        <f ca="1">Combat!B19</f>
        <v>Un</v>
      </c>
      <c r="B26" s="201" t="str">
        <f ca="1">Combat!A19&amp;IF(Combat!Z19&gt;""," ("&amp;Combat!Z19&amp;")","")</f>
        <v>Flail</v>
      </c>
      <c r="C26" s="201"/>
      <c r="D26" s="201"/>
      <c r="F26" s="71">
        <f ca="1">Combat!C19</f>
        <v>16</v>
      </c>
      <c r="G26" s="71">
        <f ca="1">Combat!D19</f>
        <v>50</v>
      </c>
      <c r="H26" s="43">
        <f ca="1">Combat!E19</f>
        <v>2</v>
      </c>
      <c r="I26" s="43" t="str">
        <f ca="1">Combat!F19</f>
        <v>C</v>
      </c>
      <c r="J26" s="71" t="str">
        <f ca="1">Combat!G19</f>
        <v/>
      </c>
      <c r="K26" s="71" t="str">
        <f ca="1">Combat!H19</f>
        <v/>
      </c>
      <c r="L26" s="192" t="str">
        <f ca="1">Combat!I19</f>
        <v/>
      </c>
      <c r="M26" s="71" t="str">
        <f ca="1">Combat!J19</f>
        <v/>
      </c>
      <c r="N26" s="71" t="str">
        <f ca="1">Combat!K19</f>
        <v/>
      </c>
      <c r="O26" s="71">
        <f ca="1">Combat!L19</f>
        <v>10</v>
      </c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</row>
    <row r="27" spans="1:33" x14ac:dyDescent="0.2">
      <c r="A27" s="43" t="str">
        <f ca="1">Combat!B20</f>
        <v>Un</v>
      </c>
      <c r="B27" s="201" t="str">
        <f ca="1">Combat!A20&amp;IF(Combat!Z20&gt;""," ("&amp;Combat!Z20&amp;")","")</f>
        <v>Hand &amp; a Half (1-2)</v>
      </c>
      <c r="C27" s="201"/>
      <c r="D27" s="201"/>
      <c r="F27" s="71">
        <f ca="1">Combat!C20</f>
        <v>16</v>
      </c>
      <c r="G27" s="71">
        <f ca="1">Combat!D20</f>
        <v>60</v>
      </c>
      <c r="H27" s="43">
        <f ca="1">Combat!E20</f>
        <v>3</v>
      </c>
      <c r="I27" s="43" t="str">
        <f ca="1">Combat!F20</f>
        <v>B</v>
      </c>
      <c r="J27" s="71" t="str">
        <f ca="1">Combat!G20</f>
        <v/>
      </c>
      <c r="K27" s="71" t="str">
        <f ca="1">Combat!H20</f>
        <v/>
      </c>
      <c r="L27" s="192" t="str">
        <f ca="1">Combat!I20</f>
        <v/>
      </c>
      <c r="M27" s="71" t="str">
        <f ca="1">Combat!J20</f>
        <v/>
      </c>
      <c r="N27" s="71" t="str">
        <f ca="1">Combat!K20</f>
        <v/>
      </c>
      <c r="O27" s="71">
        <f ca="1">Combat!L20</f>
        <v>10</v>
      </c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</row>
    <row r="28" spans="1:33" ht="6.75" customHeight="1" x14ac:dyDescent="0.2">
      <c r="A28" s="209"/>
      <c r="B28" s="209"/>
      <c r="C28" s="209"/>
      <c r="D28" s="209"/>
      <c r="E28" s="209"/>
      <c r="F28" s="209"/>
      <c r="G28" s="209"/>
      <c r="H28" s="209"/>
      <c r="I28" s="209"/>
      <c r="J28" s="209"/>
      <c r="K28" s="209"/>
      <c r="L28" s="209"/>
      <c r="M28" s="209"/>
      <c r="N28" s="209"/>
      <c r="O28" s="209"/>
      <c r="P28" s="202"/>
      <c r="Q28" s="202"/>
      <c r="R28" s="202"/>
      <c r="S28" s="202"/>
      <c r="T28" s="202"/>
      <c r="U28" s="202"/>
      <c r="V28" s="202"/>
      <c r="W28" s="202"/>
      <c r="X28" s="202"/>
      <c r="Y28" s="202"/>
      <c r="Z28" s="202"/>
      <c r="AA28" s="202"/>
      <c r="AB28" s="202"/>
      <c r="AC28" s="202"/>
      <c r="AD28" s="202"/>
      <c r="AE28" s="202"/>
      <c r="AF28" s="202"/>
      <c r="AG28" s="202"/>
    </row>
    <row r="29" spans="1:33" x14ac:dyDescent="0.2">
      <c r="A29" s="190" t="str">
        <f ca="1">INDIRECT("Magic!B1",TRUE)</f>
        <v>E&amp;E (Thaumaturgy)</v>
      </c>
      <c r="B29" s="190"/>
      <c r="C29" s="190"/>
      <c r="D29" s="190"/>
      <c r="E29" s="190" t="s">
        <v>149</v>
      </c>
      <c r="F29" s="190" t="s">
        <v>231</v>
      </c>
      <c r="G29" s="190" t="s">
        <v>265</v>
      </c>
      <c r="H29" s="190" t="s">
        <v>266</v>
      </c>
      <c r="I29" s="793" t="s">
        <v>2</v>
      </c>
      <c r="J29" s="793"/>
      <c r="K29" s="793" t="s">
        <v>232</v>
      </c>
      <c r="L29" s="793"/>
      <c r="M29" s="190" t="s">
        <v>234</v>
      </c>
      <c r="N29" s="190"/>
      <c r="O29" s="190"/>
    </row>
    <row r="30" spans="1:33" x14ac:dyDescent="0.2">
      <c r="A30" s="203" t="str">
        <f ca="1">INDIRECT("Magic!A2",TRUE)&amp;". "&amp;INDIRECT("Magic!B2",TRUE)</f>
        <v>T1. Wizardsight</v>
      </c>
      <c r="B30" s="203"/>
      <c r="C30" s="203"/>
      <c r="D30" s="203"/>
      <c r="E30" s="94">
        <f ca="1">INDIRECT("Magic!C2")</f>
        <v>0</v>
      </c>
      <c r="F30" s="94">
        <f ca="1">INDIRECT("Magic!D2")</f>
        <v>0</v>
      </c>
      <c r="G30" s="94">
        <f ca="1">INDIRECT("Magic!E2")</f>
        <v>0</v>
      </c>
      <c r="H30" s="94">
        <f ca="1">INDIRECT("Magic!F2")</f>
        <v>0</v>
      </c>
      <c r="I30" s="786" t="str">
        <f ca="1">INDIRECT("Magic!G2")</f>
        <v>75/150 Feet</v>
      </c>
      <c r="J30" s="786"/>
      <c r="K30" s="786">
        <f ca="1">INDIRECT("Magic!H2")</f>
        <v>0</v>
      </c>
      <c r="L30" s="799"/>
      <c r="M30" s="790">
        <f ca="1">INDIRECT("Magic!I2")</f>
        <v>0</v>
      </c>
      <c r="N30" s="790"/>
      <c r="O30" s="790"/>
      <c r="P30" s="757"/>
      <c r="Q30" s="757"/>
      <c r="R30" s="757"/>
      <c r="S30" s="757"/>
      <c r="T30" s="757"/>
      <c r="U30" s="757"/>
      <c r="V30" s="757"/>
      <c r="W30" s="757"/>
      <c r="X30" s="757"/>
      <c r="Y30" s="757"/>
      <c r="Z30" s="757"/>
      <c r="AA30" s="757"/>
      <c r="AB30" s="757"/>
      <c r="AC30" s="294"/>
      <c r="AD30" s="294"/>
      <c r="AE30" s="294"/>
      <c r="AF30" s="294"/>
      <c r="AG30" s="294"/>
    </row>
    <row r="31" spans="1:33" x14ac:dyDescent="0.2">
      <c r="A31" s="203" t="str">
        <f ca="1">INDIRECT("Magic!A3")&amp;". "&amp;INDIRECT("Magic!B3")</f>
        <v>G1. Charming</v>
      </c>
      <c r="B31" s="203"/>
      <c r="C31" s="203"/>
      <c r="D31" s="203"/>
      <c r="E31" s="94">
        <f ca="1">INDIRECT("Magic!C3")</f>
        <v>0</v>
      </c>
      <c r="F31" s="152">
        <f ca="1">INDIRECT("Magic!D3")</f>
        <v>15</v>
      </c>
      <c r="G31" s="152">
        <f ca="1">INDIRECT("Magic!E3")</f>
        <v>2.25</v>
      </c>
      <c r="H31" s="152">
        <f ca="1">INDIRECT("Magic!F3")</f>
        <v>0.75</v>
      </c>
      <c r="I31" s="786" t="str">
        <f ca="1">INDIRECT("Magic!G3")</f>
        <v>15 Feet</v>
      </c>
      <c r="J31" s="786"/>
      <c r="K31" s="786" t="str">
        <f ca="1">INDIRECT("Magic!H3")</f>
        <v>1 Hours</v>
      </c>
      <c r="L31" s="786"/>
      <c r="M31" s="790">
        <f ca="1">INDIRECT("Magic!I3")</f>
        <v>0</v>
      </c>
      <c r="N31" s="790"/>
      <c r="O31" s="790"/>
      <c r="P31" s="757"/>
      <c r="Q31" s="757"/>
      <c r="R31" s="757"/>
      <c r="S31" s="757"/>
      <c r="T31" s="757"/>
      <c r="U31" s="757"/>
      <c r="V31" s="757"/>
      <c r="W31" s="757"/>
      <c r="X31" s="757"/>
      <c r="Y31" s="757"/>
      <c r="Z31" s="757"/>
      <c r="AA31" s="757"/>
      <c r="AB31" s="757"/>
      <c r="AC31" s="294"/>
      <c r="AD31" s="294"/>
      <c r="AE31" s="294"/>
      <c r="AF31" s="294"/>
      <c r="AG31" s="294"/>
    </row>
    <row r="32" spans="1:33" x14ac:dyDescent="0.2">
      <c r="A32" s="203" t="str">
        <f ca="1">INDIRECT("Magic!A4")&amp;". "&amp;INDIRECT("Magic!B4")</f>
        <v>G2. Telekinesis</v>
      </c>
      <c r="B32" s="203"/>
      <c r="C32" s="203"/>
      <c r="D32" s="203"/>
      <c r="E32" s="94">
        <f ca="1">INDIRECT("Magic!C4")</f>
        <v>0</v>
      </c>
      <c r="F32" s="152">
        <f ca="1">INDIRECT("Magic!D4")</f>
        <v>20</v>
      </c>
      <c r="G32" s="152">
        <f ca="1">INDIRECT("Magic!E4")</f>
        <v>3</v>
      </c>
      <c r="H32" s="152">
        <f ca="1">INDIRECT("Magic!F4")</f>
        <v>1</v>
      </c>
      <c r="I32" s="786" t="str">
        <f ca="1">INDIRECT("Magic!G4")</f>
        <v>15 Feet</v>
      </c>
      <c r="J32" s="786"/>
      <c r="K32" s="786" t="str">
        <f ca="1">INDIRECT("Magic!H4")</f>
        <v>10 Secs</v>
      </c>
      <c r="L32" s="786"/>
      <c r="M32" s="790" t="str">
        <f ca="1">INDIRECT("Magic!I4")</f>
        <v>Mv 2 lbs @ 2 TMR +0 lbs/0 TMR.</v>
      </c>
      <c r="N32" s="790"/>
      <c r="O32" s="790"/>
      <c r="P32" s="757"/>
      <c r="Q32" s="757"/>
      <c r="R32" s="757"/>
      <c r="S32" s="757"/>
      <c r="T32" s="757"/>
      <c r="U32" s="757"/>
      <c r="V32" s="757"/>
      <c r="W32" s="757"/>
      <c r="X32" s="757"/>
      <c r="Y32" s="757"/>
      <c r="Z32" s="757"/>
      <c r="AA32" s="757"/>
      <c r="AB32" s="757"/>
      <c r="AC32" s="294"/>
      <c r="AD32" s="294"/>
      <c r="AE32" s="294"/>
      <c r="AF32" s="294"/>
      <c r="AG32" s="294"/>
    </row>
    <row r="33" spans="1:33" ht="12.75" customHeight="1" x14ac:dyDescent="0.2">
      <c r="A33" s="203" t="str">
        <f ca="1">INDIRECT("Magic!A5")&amp;". "&amp;INDIRECT("Magic!B5")</f>
        <v>G3. Enchanted Sleep</v>
      </c>
      <c r="B33" s="203"/>
      <c r="C33" s="203"/>
      <c r="D33" s="203"/>
      <c r="E33" s="94">
        <f ca="1">INDIRECT("Magic!C5")</f>
        <v>0</v>
      </c>
      <c r="F33" s="152">
        <f ca="1">INDIRECT("Magic!D5")</f>
        <v>15</v>
      </c>
      <c r="G33" s="152">
        <f ca="1">INDIRECT("Magic!E5")</f>
        <v>2.25</v>
      </c>
      <c r="H33" s="152">
        <f ca="1">INDIRECT("Magic!F5")</f>
        <v>0.75</v>
      </c>
      <c r="I33" s="786" t="str">
        <f ca="1">INDIRECT("Magic!G5")</f>
        <v>15 Feet</v>
      </c>
      <c r="J33" s="786"/>
      <c r="K33" s="786" t="str">
        <f ca="1">INDIRECT("Magic!H5")</f>
        <v>1 Hours</v>
      </c>
      <c r="L33" s="786"/>
      <c r="M33" s="790">
        <f ca="1">INDIRECT("Magic!I5")</f>
        <v>0</v>
      </c>
      <c r="N33" s="790"/>
      <c r="O33" s="790"/>
      <c r="P33" s="757"/>
      <c r="Q33" s="757"/>
      <c r="R33" s="757"/>
      <c r="S33" s="757"/>
      <c r="T33" s="757"/>
      <c r="U33" s="757"/>
      <c r="V33" s="757"/>
      <c r="W33" s="757"/>
      <c r="X33" s="757"/>
      <c r="Y33" s="757"/>
      <c r="Z33" s="757"/>
      <c r="AA33" s="757"/>
      <c r="AB33" s="757"/>
      <c r="AC33" s="294"/>
      <c r="AD33" s="294"/>
      <c r="AE33" s="294"/>
      <c r="AF33" s="294"/>
      <c r="AG33" s="294"/>
    </row>
    <row r="34" spans="1:33" x14ac:dyDescent="0.2">
      <c r="A34" s="203" t="str">
        <f ca="1">INDIRECT("Magic!A6")&amp;". "&amp;INDIRECT("Magic!B6")</f>
        <v>G4. Walking Unseen</v>
      </c>
      <c r="B34" s="203"/>
      <c r="C34" s="203"/>
      <c r="D34" s="203"/>
      <c r="E34" s="94">
        <f ca="1">INDIRECT("Magic!C6")</f>
        <v>0</v>
      </c>
      <c r="F34" s="152">
        <f ca="1">INDIRECT("Magic!D6")</f>
        <v>40</v>
      </c>
      <c r="G34" s="152">
        <f ca="1">INDIRECT("Magic!E6")</f>
        <v>6</v>
      </c>
      <c r="H34" s="152">
        <f ca="1">INDIRECT("Magic!F6")</f>
        <v>2</v>
      </c>
      <c r="I34" s="786" t="str">
        <f ca="1">INDIRECT("Magic!G6")</f>
        <v>1 Feet</v>
      </c>
      <c r="J34" s="786"/>
      <c r="K34" s="786" t="str">
        <f ca="1">INDIRECT("Magic!H6")</f>
        <v>1 Hours</v>
      </c>
      <c r="L34" s="786"/>
      <c r="M34" s="790">
        <f ca="1">INDIRECT("Magic!I6")</f>
        <v>0</v>
      </c>
      <c r="N34" s="790"/>
      <c r="O34" s="790"/>
      <c r="P34" s="757"/>
      <c r="Q34" s="757"/>
      <c r="R34" s="757"/>
      <c r="S34" s="757"/>
      <c r="T34" s="757"/>
      <c r="U34" s="757"/>
      <c r="V34" s="757"/>
      <c r="W34" s="757"/>
      <c r="X34" s="757"/>
      <c r="Y34" s="757"/>
      <c r="Z34" s="757"/>
      <c r="AA34" s="757"/>
      <c r="AB34" s="757"/>
      <c r="AC34" s="294"/>
      <c r="AD34" s="294"/>
      <c r="AE34" s="294"/>
      <c r="AF34" s="294"/>
      <c r="AG34" s="294"/>
    </row>
    <row r="35" spans="1:33" x14ac:dyDescent="0.2">
      <c r="A35" s="203" t="str">
        <f ca="1">INDIRECT("Magic!A7")&amp;". "&amp;INDIRECT("Magic!B7")</f>
        <v>G5. Speaking to Enchanted Creatures</v>
      </c>
      <c r="B35" s="203"/>
      <c r="C35" s="203"/>
      <c r="D35" s="203"/>
      <c r="E35" s="94">
        <f ca="1">INDIRECT("Magic!C7")</f>
        <v>0</v>
      </c>
      <c r="F35" s="152">
        <f ca="1">INDIRECT("Magic!D7")</f>
        <v>40</v>
      </c>
      <c r="G35" s="152">
        <f ca="1">INDIRECT("Magic!E7")</f>
        <v>6</v>
      </c>
      <c r="H35" s="152">
        <f ca="1">INDIRECT("Magic!F7")</f>
        <v>2</v>
      </c>
      <c r="I35" s="786" t="str">
        <f ca="1">INDIRECT("Magic!G7")</f>
        <v>15 Feet</v>
      </c>
      <c r="J35" s="786"/>
      <c r="K35" s="786" t="str">
        <f ca="1">INDIRECT("Magic!H7")</f>
        <v>10 Mins</v>
      </c>
      <c r="L35" s="786"/>
      <c r="M35" s="790">
        <f ca="1">INDIRECT("Magic!I7")</f>
        <v>0</v>
      </c>
      <c r="N35" s="790"/>
      <c r="O35" s="790"/>
      <c r="P35" s="757"/>
      <c r="Q35" s="757"/>
      <c r="R35" s="757"/>
      <c r="S35" s="757"/>
      <c r="T35" s="757"/>
      <c r="U35" s="757"/>
      <c r="V35" s="757"/>
      <c r="W35" s="757"/>
      <c r="X35" s="757"/>
      <c r="Y35" s="757"/>
      <c r="Z35" s="757"/>
      <c r="AA35" s="757"/>
      <c r="AB35" s="757"/>
      <c r="AC35" s="294"/>
      <c r="AD35" s="294"/>
      <c r="AE35" s="294"/>
      <c r="AF35" s="294"/>
      <c r="AG35" s="294"/>
    </row>
    <row r="36" spans="1:33" x14ac:dyDescent="0.2">
      <c r="A36" s="203" t="str">
        <f ca="1">INDIRECT("Magic!A8")&amp;". "&amp;INDIRECT("Magic!B8")</f>
        <v>G6. Location</v>
      </c>
      <c r="B36" s="203"/>
      <c r="C36" s="203"/>
      <c r="D36" s="203"/>
      <c r="E36" s="94">
        <f ca="1">INDIRECT("Magic!C8")</f>
        <v>0</v>
      </c>
      <c r="F36" s="152">
        <f ca="1">INDIRECT("Magic!D8")</f>
        <v>15</v>
      </c>
      <c r="G36" s="152">
        <f ca="1">INDIRECT("Magic!E8")</f>
        <v>2.25</v>
      </c>
      <c r="H36" s="152">
        <f ca="1">INDIRECT("Magic!F8")</f>
        <v>0.75</v>
      </c>
      <c r="I36" s="786" t="str">
        <f ca="1">INDIRECT("Magic!G8")</f>
        <v>10 Miles</v>
      </c>
      <c r="J36" s="786"/>
      <c r="K36" s="786" t="str">
        <f ca="1">INDIRECT("Magic!H8")</f>
        <v>1 Hours</v>
      </c>
      <c r="L36" s="786"/>
      <c r="M36" s="790">
        <f ca="1">INDIRECT("Magic!I8")</f>
        <v>0</v>
      </c>
      <c r="N36" s="790"/>
      <c r="O36" s="790"/>
      <c r="P36" s="757"/>
      <c r="Q36" s="757"/>
      <c r="R36" s="757"/>
      <c r="S36" s="757"/>
      <c r="T36" s="757"/>
      <c r="U36" s="757"/>
      <c r="V36" s="757"/>
      <c r="W36" s="757"/>
      <c r="X36" s="757"/>
      <c r="Y36" s="757"/>
      <c r="Z36" s="757"/>
      <c r="AA36" s="757"/>
      <c r="AB36" s="757"/>
      <c r="AC36" s="294"/>
      <c r="AD36" s="294"/>
      <c r="AE36" s="294"/>
      <c r="AF36" s="294"/>
      <c r="AG36" s="294"/>
    </row>
    <row r="37" spans="1:33" x14ac:dyDescent="0.2">
      <c r="A37" s="203" t="str">
        <f ca="1">INDIRECT("Magic!A9")&amp;". "&amp;INDIRECT("Magic!B9")</f>
        <v>G7. Mass Charming</v>
      </c>
      <c r="B37" s="203"/>
      <c r="C37" s="203"/>
      <c r="D37" s="203"/>
      <c r="E37" s="94">
        <f ca="1">INDIRECT("Magic!C9")</f>
        <v>0</v>
      </c>
      <c r="F37" s="152">
        <f ca="1">INDIRECT("Magic!D9")</f>
        <v>5</v>
      </c>
      <c r="G37" s="152">
        <f ca="1">INDIRECT("Magic!E9")</f>
        <v>0.75</v>
      </c>
      <c r="H37" s="152">
        <f ca="1">INDIRECT("Magic!F9")</f>
        <v>0.25</v>
      </c>
      <c r="I37" s="786" t="str">
        <f ca="1">INDIRECT("Magic!G9")</f>
        <v>15 Feet</v>
      </c>
      <c r="J37" s="786"/>
      <c r="K37" s="786" t="str">
        <f ca="1">INDIRECT("Magic!H9")</f>
        <v>Conc. No Max</v>
      </c>
      <c r="L37" s="786"/>
      <c r="M37" s="790" t="str">
        <f ca="1">INDIRECT("Magic!I9")</f>
        <v>Charms Up to 1 Entities</v>
      </c>
      <c r="N37" s="790"/>
      <c r="O37" s="790"/>
      <c r="P37" s="757"/>
      <c r="Q37" s="757"/>
      <c r="R37" s="757"/>
      <c r="S37" s="757"/>
      <c r="T37" s="757"/>
      <c r="U37" s="757"/>
      <c r="V37" s="757"/>
      <c r="W37" s="757"/>
      <c r="X37" s="757"/>
      <c r="Y37" s="757"/>
      <c r="Z37" s="757"/>
      <c r="AA37" s="757"/>
      <c r="AB37" s="757"/>
      <c r="AC37" s="294"/>
      <c r="AD37" s="294"/>
      <c r="AE37" s="294"/>
      <c r="AF37" s="294"/>
      <c r="AG37" s="294"/>
    </row>
    <row r="38" spans="1:33" x14ac:dyDescent="0.2">
      <c r="A38" s="203" t="str">
        <f ca="1">INDIRECT("Magic!A10")&amp;". "&amp;INDIRECT("Magic!B10")</f>
        <v>G8. Invisibility</v>
      </c>
      <c r="B38" s="203"/>
      <c r="C38" s="203"/>
      <c r="D38" s="203"/>
      <c r="E38" s="94">
        <f ca="1">INDIRECT("Magic!C10")</f>
        <v>0</v>
      </c>
      <c r="F38" s="152">
        <f ca="1">INDIRECT("Magic!D10")</f>
        <v>45</v>
      </c>
      <c r="G38" s="152">
        <f ca="1">INDIRECT("Magic!E10")</f>
        <v>6.75</v>
      </c>
      <c r="H38" s="152">
        <f ca="1">INDIRECT("Magic!F10")</f>
        <v>2.25</v>
      </c>
      <c r="I38" s="786" t="str">
        <f ca="1">INDIRECT("Magic!G10")</f>
        <v>15 Feet</v>
      </c>
      <c r="J38" s="786"/>
      <c r="K38" s="786" t="str">
        <f ca="1">INDIRECT("Magic!H10")</f>
        <v>5 Mins</v>
      </c>
      <c r="L38" s="786"/>
      <c r="M38" s="790">
        <f ca="1">INDIRECT("Magic!I10")</f>
        <v>0</v>
      </c>
      <c r="N38" s="790"/>
      <c r="O38" s="790"/>
      <c r="P38" s="757"/>
      <c r="Q38" s="757"/>
      <c r="R38" s="757"/>
      <c r="S38" s="757"/>
      <c r="T38" s="757"/>
      <c r="U38" s="757"/>
      <c r="V38" s="757"/>
      <c r="W38" s="757"/>
      <c r="X38" s="757"/>
      <c r="Y38" s="757"/>
      <c r="Z38" s="757"/>
      <c r="AA38" s="757"/>
      <c r="AB38" s="757"/>
      <c r="AC38" s="294"/>
      <c r="AD38" s="294"/>
      <c r="AE38" s="294"/>
      <c r="AF38" s="294"/>
      <c r="AG38" s="294"/>
    </row>
    <row r="39" spans="1:33" ht="12.75" customHeight="1" x14ac:dyDescent="0.2">
      <c r="A39" s="203" t="str">
        <f ca="1">INDIRECT("Magic!A11")&amp;". "&amp;INDIRECT("Magic!B11")</f>
        <v>G9. Evil Eye</v>
      </c>
      <c r="B39" s="203"/>
      <c r="C39" s="203"/>
      <c r="D39" s="203"/>
      <c r="E39" s="94">
        <f ca="1">INDIRECT("Magic!C11")</f>
        <v>0</v>
      </c>
      <c r="F39" s="152">
        <f ca="1">INDIRECT("Magic!D11")</f>
        <v>20</v>
      </c>
      <c r="G39" s="152">
        <f ca="1">INDIRECT("Magic!E11")</f>
        <v>3</v>
      </c>
      <c r="H39" s="152">
        <f ca="1">INDIRECT("Magic!F11")</f>
        <v>1</v>
      </c>
      <c r="I39" s="786" t="str">
        <f ca="1">INDIRECT("Magic!G11")</f>
        <v>15 Feet</v>
      </c>
      <c r="J39" s="786"/>
      <c r="K39" s="786" t="str">
        <f ca="1">INDIRECT("Magic!H11")</f>
        <v>1 Days</v>
      </c>
      <c r="L39" s="786"/>
      <c r="M39" s="790" t="str">
        <f ca="1">INDIRECT("Magic!I11")</f>
        <v>-1 from BC% &amp; SC%</v>
      </c>
      <c r="N39" s="790"/>
      <c r="O39" s="790"/>
      <c r="P39" s="757"/>
      <c r="Q39" s="757"/>
      <c r="R39" s="757"/>
      <c r="S39" s="757"/>
      <c r="T39" s="757"/>
      <c r="U39" s="757"/>
      <c r="V39" s="757"/>
      <c r="W39" s="757"/>
      <c r="X39" s="757"/>
      <c r="Y39" s="757"/>
      <c r="Z39" s="757"/>
      <c r="AA39" s="757"/>
      <c r="AB39" s="757"/>
      <c r="AC39" s="294"/>
      <c r="AD39" s="294"/>
      <c r="AE39" s="294"/>
      <c r="AF39" s="294"/>
      <c r="AG39" s="294"/>
    </row>
    <row r="40" spans="1:33" x14ac:dyDescent="0.2">
      <c r="A40" s="203" t="str">
        <f ca="1">INDIRECT("Magic!A12")&amp;". "&amp;INDIRECT("Magic!B12")</f>
        <v>Gcs. E&amp;E General Counterspell</v>
      </c>
      <c r="B40" s="203"/>
      <c r="C40" s="203"/>
      <c r="D40" s="203"/>
      <c r="E40" s="94">
        <f ca="1">INDIRECT("Magic!C12")</f>
        <v>0</v>
      </c>
      <c r="F40" s="152">
        <f ca="1">INDIRECT("Magic!D12")</f>
        <v>40</v>
      </c>
      <c r="G40" s="152">
        <f ca="1">INDIRECT("Magic!E12")</f>
        <v>6</v>
      </c>
      <c r="H40" s="152">
        <f ca="1">INDIRECT("Magic!F12")</f>
        <v>2</v>
      </c>
      <c r="I40" s="786" t="str">
        <f ca="1">INDIRECT("Magic!G12")</f>
        <v>25 Feet</v>
      </c>
      <c r="J40" s="786"/>
      <c r="K40" s="786" t="str">
        <f ca="1">INDIRECT("Magic!H12")</f>
        <v>D+5 Mins</v>
      </c>
      <c r="L40" s="786"/>
      <c r="M40" s="790" t="str">
        <f ca="1">INDIRECT("Magic!I12")</f>
        <v>+30 to MR.</v>
      </c>
      <c r="N40" s="790"/>
      <c r="O40" s="790"/>
      <c r="P40" s="757"/>
      <c r="Q40" s="757"/>
      <c r="R40" s="757"/>
      <c r="S40" s="757"/>
      <c r="T40" s="757"/>
      <c r="U40" s="757"/>
      <c r="V40" s="757"/>
      <c r="W40" s="757"/>
      <c r="X40" s="757"/>
      <c r="Y40" s="757"/>
      <c r="Z40" s="757"/>
      <c r="AA40" s="757"/>
      <c r="AB40" s="757"/>
      <c r="AC40" s="294"/>
      <c r="AD40" s="294"/>
      <c r="AE40" s="294"/>
      <c r="AF40" s="294"/>
      <c r="AG40" s="294"/>
    </row>
    <row r="41" spans="1:33" x14ac:dyDescent="0.2">
      <c r="A41" s="203" t="str">
        <f ca="1">INDIRECT("Magic!A13")&amp;". "&amp;INDIRECT("Magic!B13")</f>
        <v>Gcs. E&amp;E Special Counterspell</v>
      </c>
      <c r="B41" s="203"/>
      <c r="C41" s="203"/>
      <c r="D41" s="203"/>
      <c r="E41" s="94">
        <f ca="1">INDIRECT("Magic!C13")</f>
        <v>0</v>
      </c>
      <c r="F41" s="152">
        <f ca="1">INDIRECT("Magic!D13")</f>
        <v>40</v>
      </c>
      <c r="G41" s="152">
        <f ca="1">INDIRECT("Magic!E13")</f>
        <v>6</v>
      </c>
      <c r="H41" s="152">
        <f ca="1">INDIRECT("Magic!F13")</f>
        <v>2</v>
      </c>
      <c r="I41" s="786" t="str">
        <f ca="1">INDIRECT("Magic!G13")</f>
        <v>25 Feet</v>
      </c>
      <c r="J41" s="786"/>
      <c r="K41" s="786" t="str">
        <f ca="1">INDIRECT("Magic!H13")</f>
        <v>D+5 Mins</v>
      </c>
      <c r="L41" s="786"/>
      <c r="M41" s="790" t="str">
        <f ca="1">INDIRECT("Magic!I13")</f>
        <v>+30 to MR.</v>
      </c>
      <c r="N41" s="790"/>
      <c r="O41" s="790"/>
      <c r="P41" s="757"/>
      <c r="Q41" s="757"/>
      <c r="R41" s="757"/>
      <c r="S41" s="757"/>
      <c r="T41" s="757"/>
      <c r="U41" s="757"/>
      <c r="V41" s="757"/>
      <c r="W41" s="757"/>
      <c r="X41" s="757"/>
      <c r="Y41" s="757"/>
      <c r="Z41" s="757"/>
      <c r="AA41" s="757"/>
      <c r="AB41" s="757"/>
      <c r="AC41" s="294"/>
      <c r="AD41" s="294"/>
      <c r="AE41" s="294"/>
      <c r="AF41" s="294"/>
      <c r="AG41" s="294"/>
    </row>
    <row r="42" spans="1:33" x14ac:dyDescent="0.2">
      <c r="A42" s="203" t="str">
        <f ca="1">INDIRECT("Magic!A14")&amp;". "&amp;INDIRECT("Magic!B14")</f>
        <v>Q1. Greater Enchantment</v>
      </c>
      <c r="B42" s="203"/>
      <c r="C42" s="203"/>
      <c r="D42" s="203"/>
      <c r="E42" s="94">
        <f ca="1">INDIRECT("Magic!C14")</f>
        <v>0</v>
      </c>
      <c r="F42" s="152">
        <f ca="1">INDIRECT("Magic!D14")</f>
        <v>80</v>
      </c>
      <c r="G42" s="152">
        <f ca="1">INDIRECT("Magic!E14")</f>
        <v>12</v>
      </c>
      <c r="H42" s="152">
        <f ca="1">INDIRECT("Magic!F14")</f>
        <v>4</v>
      </c>
      <c r="I42" s="786">
        <f ca="1">INDIRECT("Magic!G14")</f>
        <v>0</v>
      </c>
      <c r="J42" s="786"/>
      <c r="K42" s="786" t="str">
        <f ca="1">INDIRECT("Magic!H14")</f>
        <v>1 Day</v>
      </c>
      <c r="L42" s="786"/>
      <c r="M42" s="790" t="str">
        <f ca="1">INDIRECT("Magic!I14")</f>
        <v>+1%  5 targets +0 days/targets.</v>
      </c>
      <c r="N42" s="790"/>
      <c r="O42" s="790"/>
      <c r="P42" s="757"/>
      <c r="Q42" s="757"/>
      <c r="R42" s="757"/>
      <c r="S42" s="757"/>
      <c r="T42" s="757"/>
      <c r="U42" s="757"/>
      <c r="V42" s="757"/>
      <c r="W42" s="757"/>
      <c r="X42" s="757"/>
      <c r="Y42" s="757"/>
      <c r="Z42" s="757"/>
      <c r="AA42" s="757"/>
      <c r="AB42" s="757"/>
      <c r="AC42" s="294"/>
      <c r="AD42" s="294"/>
      <c r="AE42" s="294"/>
      <c r="AF42" s="294"/>
      <c r="AG42" s="294"/>
    </row>
    <row r="43" spans="1:33" x14ac:dyDescent="0.2">
      <c r="A43" s="203" t="str">
        <f ca="1">INDIRECT("Magic!A15")&amp;". "&amp;INDIRECT("Magic!B15")</f>
        <v>Q2. Creating Crystal of Vision</v>
      </c>
      <c r="B43" s="203"/>
      <c r="C43" s="203"/>
      <c r="D43" s="203"/>
      <c r="E43" s="94">
        <f ca="1">INDIRECT("Magic!C15")</f>
        <v>0</v>
      </c>
      <c r="F43" s="152">
        <f ca="1">INDIRECT("Magic!D15")</f>
        <v>75</v>
      </c>
      <c r="G43" s="152">
        <f ca="1">INDIRECT("Magic!E15")</f>
        <v>11.25</v>
      </c>
      <c r="H43" s="152">
        <f ca="1">INDIRECT("Magic!F15")</f>
        <v>3.75</v>
      </c>
      <c r="I43" s="786">
        <f ca="1">INDIRECT("Magic!G15")</f>
        <v>0</v>
      </c>
      <c r="J43" s="786"/>
      <c r="K43" s="786">
        <f ca="1">INDIRECT("Magic!H15")</f>
        <v>0</v>
      </c>
      <c r="L43" s="786"/>
      <c r="M43" s="790" t="str">
        <f ca="1">INDIRECT("Magic!I15")</f>
        <v>1 Hr 1,000sp. 10 min dur. 5 miles range</v>
      </c>
      <c r="N43" s="790"/>
      <c r="O43" s="790"/>
      <c r="P43" s="757"/>
      <c r="Q43" s="757"/>
      <c r="R43" s="757"/>
      <c r="S43" s="757"/>
      <c r="T43" s="757"/>
      <c r="U43" s="757"/>
      <c r="V43" s="757"/>
      <c r="W43" s="757"/>
      <c r="X43" s="757"/>
      <c r="Y43" s="757"/>
      <c r="Z43" s="757"/>
      <c r="AA43" s="757"/>
      <c r="AB43" s="757"/>
      <c r="AC43" s="294"/>
      <c r="AD43" s="294"/>
      <c r="AE43" s="294"/>
      <c r="AF43" s="294"/>
      <c r="AG43" s="294"/>
    </row>
    <row r="44" spans="1:33" ht="12.75" customHeight="1" x14ac:dyDescent="0.2">
      <c r="A44" s="203" t="str">
        <f ca="1">INDIRECT("Magic!A16")&amp;". "&amp;INDIRECT("Magic!B16")</f>
        <v>Q3. Creating Sleep Dust</v>
      </c>
      <c r="B44" s="203"/>
      <c r="C44" s="203"/>
      <c r="D44" s="203"/>
      <c r="E44" s="94">
        <f ca="1">INDIRECT("Magic!C16")</f>
        <v>0</v>
      </c>
      <c r="F44" s="152">
        <f ca="1">INDIRECT("Magic!D16")</f>
        <v>80</v>
      </c>
      <c r="G44" s="152">
        <f ca="1">INDIRECT("Magic!E16")</f>
        <v>12</v>
      </c>
      <c r="H44" s="152">
        <f ca="1">INDIRECT("Magic!F16")</f>
        <v>4</v>
      </c>
      <c r="I44" s="786">
        <f ca="1">INDIRECT("Magic!G16")</f>
        <v>0</v>
      </c>
      <c r="J44" s="786"/>
      <c r="K44" s="786">
        <f ca="1">INDIRECT("Magic!H16")</f>
        <v>0</v>
      </c>
      <c r="L44" s="786"/>
      <c r="M44" s="790" t="str">
        <f ca="1">INDIRECT("Magic!I16")</f>
        <v>3 Hrs, 10,000sp Sleep -20MR</v>
      </c>
      <c r="N44" s="790"/>
      <c r="O44" s="790"/>
      <c r="P44" s="757"/>
      <c r="Q44" s="757"/>
      <c r="R44" s="757"/>
      <c r="S44" s="757"/>
      <c r="T44" s="757"/>
      <c r="U44" s="757"/>
      <c r="V44" s="757"/>
      <c r="W44" s="757"/>
      <c r="X44" s="757"/>
      <c r="Y44" s="757"/>
      <c r="Z44" s="757"/>
      <c r="AA44" s="757"/>
      <c r="AB44" s="757"/>
      <c r="AC44" s="294"/>
      <c r="AD44" s="294"/>
      <c r="AE44" s="294"/>
      <c r="AF44" s="294"/>
      <c r="AG44" s="294"/>
    </row>
    <row r="45" spans="1:33" ht="12.75" customHeight="1" x14ac:dyDescent="0.2">
      <c r="A45" s="203" t="str">
        <f ca="1">INDIRECT("Magic!A17")&amp;". "&amp;INDIRECT("Magic!B17")</f>
        <v>Q4. Manufacturing Poison Dust</v>
      </c>
      <c r="B45" s="203"/>
      <c r="C45" s="203"/>
      <c r="D45" s="203"/>
      <c r="E45" s="94">
        <f ca="1">INDIRECT("Magic!C17")</f>
        <v>0</v>
      </c>
      <c r="F45" s="152">
        <f ca="1">INDIRECT("Magic!D17")</f>
        <v>80</v>
      </c>
      <c r="G45" s="152">
        <f ca="1">INDIRECT("Magic!E17")</f>
        <v>12</v>
      </c>
      <c r="H45" s="152">
        <f ca="1">INDIRECT("Magic!F17")</f>
        <v>4</v>
      </c>
      <c r="I45" s="786">
        <f ca="1">INDIRECT("Magic!G17")</f>
        <v>0</v>
      </c>
      <c r="J45" s="786"/>
      <c r="K45" s="786">
        <f ca="1">INDIRECT("Magic!H17")</f>
        <v>0</v>
      </c>
      <c r="L45" s="786"/>
      <c r="M45" s="790" t="str">
        <f ca="1">INDIRECT("Magic!I17")</f>
        <v>3 Hrs, 10,000sp D+-5 -20MR</v>
      </c>
      <c r="N45" s="790"/>
      <c r="O45" s="790"/>
      <c r="P45" s="757"/>
      <c r="Q45" s="757"/>
      <c r="R45" s="757"/>
      <c r="S45" s="757"/>
      <c r="T45" s="757"/>
      <c r="U45" s="757"/>
      <c r="V45" s="757"/>
      <c r="W45" s="757"/>
      <c r="X45" s="757"/>
      <c r="Y45" s="757"/>
      <c r="Z45" s="757"/>
      <c r="AA45" s="757"/>
      <c r="AB45" s="757"/>
      <c r="AC45" s="294"/>
      <c r="AD45" s="294"/>
      <c r="AE45" s="294"/>
      <c r="AF45" s="294"/>
      <c r="AG45" s="294"/>
    </row>
    <row r="46" spans="1:33" x14ac:dyDescent="0.2">
      <c r="A46" s="203" t="str">
        <f ca="1">INDIRECT("Magic!A18")&amp;". "&amp;INDIRECT("Magic!B18")</f>
        <v>Qp. Purification</v>
      </c>
      <c r="B46" s="203"/>
      <c r="C46" s="203"/>
      <c r="D46" s="203"/>
      <c r="E46" s="94">
        <f ca="1">INDIRECT("Magic!C18")</f>
        <v>0</v>
      </c>
      <c r="F46" s="152">
        <f ca="1">INDIRECT("Magic!D18")</f>
        <v>30</v>
      </c>
      <c r="G46" s="152">
        <f ca="1">INDIRECT("Magic!E18")</f>
        <v>4.5</v>
      </c>
      <c r="H46" s="152">
        <f ca="1">INDIRECT("Magic!F18")</f>
        <v>1.5</v>
      </c>
      <c r="I46" s="786">
        <f ca="1">INDIRECT("Magic!G18")</f>
        <v>0</v>
      </c>
      <c r="J46" s="786"/>
      <c r="K46" s="786" t="str">
        <f ca="1">INDIRECT("Magic!H18")</f>
        <v>4 Hours</v>
      </c>
      <c r="L46" s="786"/>
      <c r="M46" s="790" t="str">
        <f ca="1">INDIRECT("Magic!I18")</f>
        <v>+ 0 MR. +0 MA.</v>
      </c>
      <c r="N46" s="790"/>
      <c r="O46" s="790"/>
      <c r="P46" s="757"/>
      <c r="Q46" s="757"/>
      <c r="R46" s="757"/>
      <c r="S46" s="757"/>
      <c r="T46" s="757"/>
      <c r="U46" s="757"/>
      <c r="V46" s="757"/>
      <c r="W46" s="757"/>
      <c r="X46" s="757"/>
      <c r="Y46" s="757"/>
      <c r="Z46" s="757"/>
      <c r="AA46" s="757"/>
      <c r="AB46" s="757"/>
      <c r="AC46" s="294"/>
      <c r="AD46" s="294"/>
      <c r="AE46" s="294"/>
      <c r="AF46" s="294"/>
      <c r="AG46" s="294"/>
    </row>
    <row r="47" spans="1:33" x14ac:dyDescent="0.2">
      <c r="A47" s="203" t="str">
        <f ca="1">INDIRECT("Magic!A19")&amp;". "&amp;INDIRECT("Magic!B19")</f>
        <v>S1. Ventriloquism</v>
      </c>
      <c r="B47" s="203"/>
      <c r="C47" s="203"/>
      <c r="D47" s="203"/>
      <c r="E47" s="94" t="str">
        <f ca="1">INDIRECT("Magic!C19")</f>
        <v>Un</v>
      </c>
      <c r="F47" s="152">
        <f ca="1">INDIRECT("Magic!D19")</f>
        <v>57</v>
      </c>
      <c r="G47" s="152">
        <f ca="1">INDIRECT("Magic!E19")</f>
        <v>8.5499999999999989</v>
      </c>
      <c r="H47" s="152">
        <f ca="1">INDIRECT("Magic!F19")</f>
        <v>2.85</v>
      </c>
      <c r="I47" s="786" t="str">
        <f ca="1">INDIRECT("Magic!G19")</f>
        <v>90 Feet</v>
      </c>
      <c r="J47" s="786"/>
      <c r="K47" s="786" t="str">
        <f ca="1">INDIRECT("Magic!H19")</f>
        <v>2 Mins</v>
      </c>
      <c r="L47" s="786"/>
      <c r="M47" s="790">
        <f ca="1">INDIRECT("Magic!I19")</f>
        <v>0</v>
      </c>
      <c r="N47" s="790"/>
      <c r="O47" s="790"/>
      <c r="P47" s="757"/>
      <c r="Q47" s="757"/>
      <c r="R47" s="757"/>
      <c r="S47" s="757"/>
      <c r="T47" s="757"/>
      <c r="U47" s="757"/>
      <c r="V47" s="757"/>
      <c r="W47" s="757"/>
      <c r="X47" s="757"/>
      <c r="Y47" s="757"/>
      <c r="Z47" s="757"/>
      <c r="AA47" s="757"/>
      <c r="AB47" s="757"/>
      <c r="AC47" s="294"/>
      <c r="AD47" s="294"/>
      <c r="AE47" s="294"/>
      <c r="AF47" s="294"/>
      <c r="AG47" s="294"/>
    </row>
    <row r="48" spans="1:33" x14ac:dyDescent="0.2">
      <c r="A48" s="203" t="str">
        <f ca="1">INDIRECT("Magic!A20")&amp;". "&amp;INDIRECT("Magic!B20")</f>
        <v>S2. Bolt of Energy</v>
      </c>
      <c r="B48" s="203"/>
      <c r="C48" s="203"/>
      <c r="D48" s="203"/>
      <c r="E48" s="94" t="str">
        <f ca="1">INDIRECT("Magic!C20")</f>
        <v>Un</v>
      </c>
      <c r="F48" s="152">
        <f ca="1">INDIRECT("Magic!D20")</f>
        <v>47</v>
      </c>
      <c r="G48" s="152">
        <f ca="1">INDIRECT("Magic!E20")</f>
        <v>7.05</v>
      </c>
      <c r="H48" s="152">
        <f ca="1">INDIRECT("Magic!F20")</f>
        <v>2.35</v>
      </c>
      <c r="I48" s="786" t="str">
        <f ca="1">INDIRECT("Magic!G20")</f>
        <v>0 Feet</v>
      </c>
      <c r="J48" s="786"/>
      <c r="K48" s="786" t="str">
        <f ca="1">INDIRECT("Magic!H20")</f>
        <v>Immediate</v>
      </c>
      <c r="L48" s="786"/>
      <c r="M48" s="790" t="str">
        <f ca="1">INDIRECT("Magic!I20")</f>
        <v>D-5 + -1 Dam.  Res: 0.</v>
      </c>
      <c r="N48" s="790"/>
      <c r="O48" s="790"/>
      <c r="P48" s="757"/>
      <c r="Q48" s="757"/>
      <c r="R48" s="757"/>
      <c r="S48" s="757"/>
      <c r="T48" s="757"/>
      <c r="U48" s="757"/>
      <c r="V48" s="757"/>
      <c r="W48" s="757"/>
      <c r="X48" s="757"/>
      <c r="Y48" s="757"/>
      <c r="Z48" s="757"/>
      <c r="AA48" s="757"/>
      <c r="AB48" s="757"/>
      <c r="AC48" s="294"/>
      <c r="AD48" s="294"/>
      <c r="AE48" s="294"/>
      <c r="AF48" s="294"/>
      <c r="AG48" s="294"/>
    </row>
    <row r="49" spans="1:33" x14ac:dyDescent="0.2">
      <c r="A49" s="203" t="str">
        <f ca="1">INDIRECT("Magic!A21")&amp;". "&amp;INDIRECT("Magic!B21")</f>
        <v>S3. Opening</v>
      </c>
      <c r="B49" s="203"/>
      <c r="C49" s="203"/>
      <c r="D49" s="203"/>
      <c r="E49" s="94" t="str">
        <f ca="1">INDIRECT("Magic!C21")</f>
        <v>Un</v>
      </c>
      <c r="F49" s="152">
        <f ca="1">INDIRECT("Magic!D21")</f>
        <v>27</v>
      </c>
      <c r="G49" s="152">
        <f ca="1">INDIRECT("Magic!E21")</f>
        <v>4.05</v>
      </c>
      <c r="H49" s="152">
        <f ca="1">INDIRECT("Magic!F21")</f>
        <v>1.35</v>
      </c>
      <c r="I49" s="786" t="str">
        <f ca="1">INDIRECT("Magic!G21")</f>
        <v>0 Feet</v>
      </c>
      <c r="J49" s="786"/>
      <c r="K49" s="786" t="str">
        <f ca="1">INDIRECT("Magic!H21")</f>
        <v>Immediate</v>
      </c>
      <c r="L49" s="786"/>
      <c r="M49" s="790">
        <f ca="1">INDIRECT("Magic!I21")</f>
        <v>0</v>
      </c>
      <c r="N49" s="790"/>
      <c r="O49" s="790"/>
      <c r="P49" s="757"/>
      <c r="Q49" s="757"/>
      <c r="R49" s="757"/>
      <c r="S49" s="757"/>
      <c r="T49" s="757"/>
      <c r="U49" s="757"/>
      <c r="V49" s="757"/>
      <c r="W49" s="757"/>
      <c r="X49" s="757"/>
      <c r="Y49" s="757"/>
      <c r="Z49" s="757"/>
      <c r="AA49" s="757"/>
      <c r="AB49" s="757"/>
      <c r="AC49" s="294"/>
      <c r="AD49" s="294"/>
      <c r="AE49" s="294"/>
      <c r="AF49" s="294"/>
      <c r="AG49" s="294"/>
    </row>
    <row r="50" spans="1:33" ht="12.75" customHeight="1" x14ac:dyDescent="0.2">
      <c r="A50" s="203" t="str">
        <f ca="1">INDIRECT("Magic!A22")&amp;". "&amp;INDIRECT("Magic!B22")</f>
        <v>S4. Enchant Weapon</v>
      </c>
      <c r="B50" s="203"/>
      <c r="C50" s="203"/>
      <c r="D50" s="203"/>
      <c r="E50" s="94" t="str">
        <f ca="1">INDIRECT("Magic!C22")</f>
        <v>Un</v>
      </c>
      <c r="F50" s="152">
        <f ca="1">INDIRECT("Magic!D22")</f>
        <v>27</v>
      </c>
      <c r="G50" s="152">
        <f ca="1">INDIRECT("Magic!E22")</f>
        <v>4.05</v>
      </c>
      <c r="H50" s="152">
        <f ca="1">INDIRECT("Magic!F22")</f>
        <v>1.35</v>
      </c>
      <c r="I50" s="786" t="str">
        <f ca="1">INDIRECT("Magic!G22")</f>
        <v>0 Feet</v>
      </c>
      <c r="J50" s="786"/>
      <c r="K50" s="786" t="str">
        <f ca="1">INDIRECT("Magic!H22")</f>
        <v>4 Mins</v>
      </c>
      <c r="L50" s="786"/>
      <c r="M50" s="790" t="str">
        <f ca="1">INDIRECT("Magic!I22")</f>
        <v>+0 BC%, +0 Dam.</v>
      </c>
      <c r="N50" s="790"/>
      <c r="O50" s="790"/>
      <c r="P50" s="757"/>
      <c r="Q50" s="757"/>
      <c r="R50" s="757"/>
      <c r="S50" s="757"/>
      <c r="T50" s="757"/>
      <c r="U50" s="757"/>
      <c r="V50" s="757"/>
      <c r="W50" s="757"/>
      <c r="X50" s="757"/>
      <c r="Y50" s="757"/>
      <c r="Z50" s="757"/>
      <c r="AA50" s="757"/>
      <c r="AB50" s="757"/>
      <c r="AC50" s="294"/>
      <c r="AD50" s="294"/>
      <c r="AE50" s="294"/>
      <c r="AF50" s="294"/>
      <c r="AG50" s="294"/>
    </row>
    <row r="51" spans="1:33" x14ac:dyDescent="0.2">
      <c r="A51" s="203" t="str">
        <f ca="1">INDIRECT("Magic!A23")&amp;". "&amp;INDIRECT("Magic!B23")</f>
        <v>S5. Web of Entanglement</v>
      </c>
      <c r="B51" s="203"/>
      <c r="C51" s="203"/>
      <c r="D51" s="203"/>
      <c r="E51" s="94" t="str">
        <f ca="1">INDIRECT("Magic!C23")</f>
        <v>Un</v>
      </c>
      <c r="F51" s="152">
        <f ca="1">INDIRECT("Magic!D23")</f>
        <v>32</v>
      </c>
      <c r="G51" s="152">
        <f ca="1">INDIRECT("Magic!E23")</f>
        <v>4.8</v>
      </c>
      <c r="H51" s="152">
        <f ca="1">INDIRECT("Magic!F23")</f>
        <v>1.6</v>
      </c>
      <c r="I51" s="786" t="str">
        <f ca="1">INDIRECT("Magic!G23")</f>
        <v>0 Feet</v>
      </c>
      <c r="J51" s="786"/>
      <c r="K51" s="786" t="str">
        <f ca="1">INDIRECT("Magic!H23")</f>
        <v>0 C. Mins</v>
      </c>
      <c r="L51" s="786"/>
      <c r="M51" s="790">
        <f ca="1">INDIRECT("Magic!I23")</f>
        <v>0</v>
      </c>
      <c r="N51" s="790"/>
      <c r="O51" s="790"/>
      <c r="P51" s="757"/>
      <c r="Q51" s="757"/>
      <c r="R51" s="757"/>
      <c r="S51" s="757"/>
      <c r="T51" s="757"/>
      <c r="U51" s="757"/>
      <c r="V51" s="757"/>
      <c r="W51" s="757"/>
      <c r="X51" s="757"/>
      <c r="Y51" s="757"/>
      <c r="Z51" s="757"/>
      <c r="AA51" s="757"/>
      <c r="AB51" s="757"/>
      <c r="AC51" s="294"/>
      <c r="AD51" s="294"/>
      <c r="AE51" s="294"/>
      <c r="AF51" s="294"/>
      <c r="AG51" s="294"/>
    </row>
    <row r="52" spans="1:33" x14ac:dyDescent="0.2">
      <c r="A52" s="203" t="str">
        <f ca="1">INDIRECT("Magic!A24")&amp;". "&amp;INDIRECT("Magic!B24")</f>
        <v>S6. Mage Lock</v>
      </c>
      <c r="B52" s="203"/>
      <c r="C52" s="203"/>
      <c r="D52" s="203"/>
      <c r="E52" s="94" t="str">
        <f ca="1">INDIRECT("Magic!C24")</f>
        <v>Un</v>
      </c>
      <c r="F52" s="152">
        <f ca="1">INDIRECT("Magic!D24")</f>
        <v>27</v>
      </c>
      <c r="G52" s="152">
        <f ca="1">INDIRECT("Magic!E24")</f>
        <v>4.05</v>
      </c>
      <c r="H52" s="152">
        <f ca="1">INDIRECT("Magic!F24")</f>
        <v>1.35</v>
      </c>
      <c r="I52" s="786" t="str">
        <f ca="1">INDIRECT("Magic!G24")</f>
        <v>0 Feet</v>
      </c>
      <c r="J52" s="786"/>
      <c r="K52" s="786" t="str">
        <f ca="1">INDIRECT("Magic!H24")</f>
        <v>0 Hours</v>
      </c>
      <c r="L52" s="786"/>
      <c r="M52" s="790">
        <f ca="1">INDIRECT("Magic!I24")</f>
        <v>0</v>
      </c>
      <c r="N52" s="790"/>
      <c r="O52" s="790"/>
      <c r="P52" s="757"/>
      <c r="Q52" s="757"/>
      <c r="R52" s="757"/>
      <c r="S52" s="757"/>
      <c r="T52" s="757"/>
      <c r="U52" s="757"/>
      <c r="V52" s="757"/>
      <c r="W52" s="757"/>
      <c r="X52" s="757"/>
      <c r="Y52" s="757"/>
      <c r="Z52" s="757"/>
      <c r="AA52" s="757"/>
      <c r="AB52" s="757"/>
      <c r="AC52" s="294"/>
      <c r="AD52" s="294"/>
      <c r="AE52" s="294"/>
      <c r="AF52" s="294"/>
      <c r="AG52" s="294"/>
    </row>
    <row r="53" spans="1:33" x14ac:dyDescent="0.2">
      <c r="A53" s="203" t="str">
        <f ca="1">INDIRECT("Magic!A25")&amp;". "&amp;INDIRECT("Magic!B25")</f>
        <v>S7. Enhancing Enchantment</v>
      </c>
      <c r="B53" s="203"/>
      <c r="C53" s="203"/>
      <c r="D53" s="203"/>
      <c r="E53" s="94" t="str">
        <f ca="1">INDIRECT("Magic!C25")</f>
        <v>Un</v>
      </c>
      <c r="F53" s="152">
        <f ca="1">INDIRECT("Magic!D25")</f>
        <v>22</v>
      </c>
      <c r="G53" s="152">
        <f ca="1">INDIRECT("Magic!E25")</f>
        <v>3.3</v>
      </c>
      <c r="H53" s="152">
        <f ca="1">INDIRECT("Magic!F25")</f>
        <v>1.1000000000000001</v>
      </c>
      <c r="I53" s="786" t="str">
        <f ca="1">INDIRECT("Magic!G25")</f>
        <v>0 Feet</v>
      </c>
      <c r="J53" s="786"/>
      <c r="K53" s="786" t="str">
        <f ca="1">INDIRECT("Magic!H25")</f>
        <v>5 Secs</v>
      </c>
      <c r="L53" s="786"/>
      <c r="M53" s="790">
        <f ca="1">INDIRECT("Magic!I25")</f>
        <v>0</v>
      </c>
      <c r="N53" s="790"/>
      <c r="O53" s="790"/>
      <c r="P53" s="757"/>
      <c r="Q53" s="757"/>
      <c r="R53" s="757"/>
      <c r="S53" s="757"/>
      <c r="T53" s="757"/>
      <c r="U53" s="757"/>
      <c r="V53" s="757"/>
      <c r="W53" s="757"/>
      <c r="X53" s="757"/>
      <c r="Y53" s="757"/>
      <c r="Z53" s="757"/>
      <c r="AA53" s="757"/>
      <c r="AB53" s="757"/>
      <c r="AC53" s="294"/>
      <c r="AD53" s="294"/>
      <c r="AE53" s="294"/>
      <c r="AF53" s="294"/>
      <c r="AG53" s="294"/>
    </row>
    <row r="54" spans="1:33" x14ac:dyDescent="0.2">
      <c r="A54" s="203" t="str">
        <f ca="1">INDIRECT("Magic!A26")&amp;". "&amp;INDIRECT("Magic!B26")</f>
        <v>S8. Levitation</v>
      </c>
      <c r="B54" s="203"/>
      <c r="C54" s="203"/>
      <c r="D54" s="203"/>
      <c r="E54" s="94" t="str">
        <f ca="1">INDIRECT("Magic!C26")</f>
        <v>Un</v>
      </c>
      <c r="F54" s="152">
        <f ca="1">INDIRECT("Magic!D26")</f>
        <v>22</v>
      </c>
      <c r="G54" s="152">
        <f ca="1">INDIRECT("Magic!E26")</f>
        <v>3.3</v>
      </c>
      <c r="H54" s="152">
        <f ca="1">INDIRECT("Magic!F26")</f>
        <v>1.1000000000000001</v>
      </c>
      <c r="I54" s="786" t="str">
        <f ca="1">INDIRECT("Magic!G26")</f>
        <v>0 Feet</v>
      </c>
      <c r="J54" s="786"/>
      <c r="K54" s="786" t="str">
        <f ca="1">INDIRECT("Magic!H26")</f>
        <v>D-5 * -10 Mins</v>
      </c>
      <c r="L54" s="786"/>
      <c r="M54" s="790">
        <f ca="1">INDIRECT("Magic!I26")</f>
        <v>0</v>
      </c>
      <c r="N54" s="790"/>
      <c r="O54" s="790"/>
      <c r="P54" s="757"/>
      <c r="Q54" s="757"/>
      <c r="R54" s="757"/>
      <c r="S54" s="757"/>
      <c r="T54" s="757"/>
      <c r="U54" s="757"/>
      <c r="V54" s="757"/>
      <c r="W54" s="757"/>
      <c r="X54" s="757"/>
      <c r="Y54" s="757"/>
      <c r="Z54" s="757"/>
      <c r="AA54" s="757"/>
      <c r="AB54" s="757"/>
      <c r="AC54" s="294"/>
      <c r="AD54" s="294"/>
      <c r="AE54" s="294"/>
      <c r="AF54" s="294"/>
      <c r="AG54" s="294"/>
    </row>
    <row r="55" spans="1:33" ht="12.75" customHeight="1" x14ac:dyDescent="0.2">
      <c r="A55" s="203" t="str">
        <f ca="1">INDIRECT("Magic!A27")&amp;". "&amp;INDIRECT("Magic!B27")</f>
        <v>S9. Enchant Armour</v>
      </c>
      <c r="B55" s="203"/>
      <c r="C55" s="203"/>
      <c r="D55" s="203"/>
      <c r="E55" s="94" t="str">
        <f ca="1">INDIRECT("Magic!C27")</f>
        <v>Un</v>
      </c>
      <c r="F55" s="152">
        <f ca="1">INDIRECT("Magic!D27")</f>
        <v>17</v>
      </c>
      <c r="G55" s="152">
        <f ca="1">INDIRECT("Magic!E27")</f>
        <v>2.5499999999999998</v>
      </c>
      <c r="H55" s="152">
        <f ca="1">INDIRECT("Magic!F27")</f>
        <v>0.85000000000000009</v>
      </c>
      <c r="I55" s="786" t="str">
        <f ca="1">INDIRECT("Magic!G27")</f>
        <v>0 Feet</v>
      </c>
      <c r="J55" s="786"/>
      <c r="K55" s="786" t="str">
        <f ca="1">INDIRECT("Magic!H27")</f>
        <v>0 Hours</v>
      </c>
      <c r="L55" s="786"/>
      <c r="M55" s="790" t="str">
        <f ca="1">INDIRECT("Magic!I27")</f>
        <v>0% Defence</v>
      </c>
      <c r="N55" s="790"/>
      <c r="O55" s="790"/>
      <c r="P55" s="757"/>
      <c r="Q55" s="757"/>
      <c r="R55" s="757"/>
      <c r="S55" s="757"/>
      <c r="T55" s="757"/>
      <c r="U55" s="757"/>
      <c r="V55" s="757"/>
      <c r="W55" s="757"/>
      <c r="X55" s="757"/>
      <c r="Y55" s="757"/>
      <c r="Z55" s="757"/>
      <c r="AA55" s="757"/>
      <c r="AB55" s="757"/>
      <c r="AC55" s="294"/>
      <c r="AD55" s="294"/>
      <c r="AE55" s="294"/>
      <c r="AF55" s="294"/>
      <c r="AG55" s="294"/>
    </row>
    <row r="56" spans="1:33" x14ac:dyDescent="0.2">
      <c r="A56" s="203" t="str">
        <f ca="1">INDIRECT("Magic!A28")&amp;". "&amp;INDIRECT("Magic!B28")</f>
        <v>S10. Wizards's Eye</v>
      </c>
      <c r="B56" s="203"/>
      <c r="C56" s="203"/>
      <c r="D56" s="203"/>
      <c r="E56" s="94" t="str">
        <f ca="1">INDIRECT("Magic!C28")</f>
        <v>Un</v>
      </c>
      <c r="F56" s="152">
        <f ca="1">INDIRECT("Magic!D28")</f>
        <v>17</v>
      </c>
      <c r="G56" s="152">
        <f ca="1">INDIRECT("Magic!E28")</f>
        <v>2.5499999999999998</v>
      </c>
      <c r="H56" s="152">
        <f ca="1">INDIRECT("Magic!F28")</f>
        <v>0.85000000000000009</v>
      </c>
      <c r="I56" s="786" t="str">
        <f ca="1">INDIRECT("Magic!G28")</f>
        <v>0 Feet</v>
      </c>
      <c r="J56" s="786"/>
      <c r="K56" s="786" t="str">
        <f ca="1">INDIRECT("Magic!H28")</f>
        <v>0 Mins</v>
      </c>
      <c r="L56" s="786"/>
      <c r="M56" s="790">
        <f ca="1">INDIRECT("Magic!I28")</f>
        <v>0</v>
      </c>
      <c r="N56" s="790"/>
      <c r="O56" s="790"/>
      <c r="P56" s="757"/>
      <c r="Q56" s="757"/>
      <c r="R56" s="757"/>
      <c r="S56" s="757"/>
      <c r="T56" s="757"/>
      <c r="U56" s="757"/>
      <c r="V56" s="757"/>
      <c r="W56" s="757"/>
      <c r="X56" s="757"/>
      <c r="Y56" s="757"/>
      <c r="Z56" s="757"/>
      <c r="AA56" s="757"/>
      <c r="AB56" s="757"/>
      <c r="AC56" s="294"/>
      <c r="AD56" s="294"/>
      <c r="AE56" s="294"/>
      <c r="AF56" s="294"/>
      <c r="AG56" s="294"/>
    </row>
    <row r="57" spans="1:33" x14ac:dyDescent="0.2">
      <c r="A57" s="203" t="str">
        <f ca="1">INDIRECT("Magic!A29")&amp;". "&amp;INDIRECT("Magic!B29")</f>
        <v>S11. Slowness</v>
      </c>
      <c r="B57" s="203"/>
      <c r="C57" s="203"/>
      <c r="D57" s="203"/>
      <c r="E57" s="94" t="str">
        <f ca="1">INDIRECT("Magic!C29")</f>
        <v>Un</v>
      </c>
      <c r="F57" s="152">
        <f ca="1">INDIRECT("Magic!D29")</f>
        <v>17</v>
      </c>
      <c r="G57" s="152">
        <f ca="1">INDIRECT("Magic!E29")</f>
        <v>2.5499999999999998</v>
      </c>
      <c r="H57" s="152">
        <f ca="1">INDIRECT("Magic!F29")</f>
        <v>0.85000000000000009</v>
      </c>
      <c r="I57" s="786" t="str">
        <f ca="1">INDIRECT("Magic!G29")</f>
        <v>0 Feet</v>
      </c>
      <c r="J57" s="786"/>
      <c r="K57" s="786" t="str">
        <f ca="1">INDIRECT("Magic!H29")</f>
        <v>D-5 * -10 Secs</v>
      </c>
      <c r="L57" s="786"/>
      <c r="M57" s="790" t="str">
        <f ca="1">INDIRECT("Magic!I29")</f>
        <v>1 Targets</v>
      </c>
      <c r="N57" s="790"/>
      <c r="O57" s="790"/>
      <c r="P57" s="757"/>
      <c r="Q57" s="757"/>
      <c r="R57" s="757"/>
      <c r="S57" s="757"/>
      <c r="T57" s="757"/>
      <c r="U57" s="757"/>
      <c r="V57" s="757"/>
      <c r="W57" s="757"/>
      <c r="X57" s="757"/>
      <c r="Y57" s="757"/>
      <c r="Z57" s="757"/>
      <c r="AA57" s="757"/>
      <c r="AB57" s="757"/>
      <c r="AC57" s="294"/>
      <c r="AD57" s="294"/>
      <c r="AE57" s="294"/>
      <c r="AF57" s="294"/>
      <c r="AG57" s="294"/>
    </row>
    <row r="58" spans="1:33" x14ac:dyDescent="0.2">
      <c r="A58" s="203" t="str">
        <f ca="1">INDIRECT("Magic!A30")&amp;". "&amp;INDIRECT("Magic!B30")</f>
        <v>S12. Quickness</v>
      </c>
      <c r="B58" s="203"/>
      <c r="C58" s="203"/>
      <c r="D58" s="203"/>
      <c r="E58" s="94" t="str">
        <f ca="1">INDIRECT("Magic!C30")</f>
        <v>Un</v>
      </c>
      <c r="F58" s="152">
        <f ca="1">INDIRECT("Magic!D30")</f>
        <v>17</v>
      </c>
      <c r="G58" s="152">
        <f ca="1">INDIRECT("Magic!E30")</f>
        <v>2.5499999999999998</v>
      </c>
      <c r="H58" s="152">
        <f ca="1">INDIRECT("Magic!F30")</f>
        <v>0.85000000000000009</v>
      </c>
      <c r="I58" s="786" t="str">
        <f ca="1">INDIRECT("Magic!G30")</f>
        <v>0 Feet</v>
      </c>
      <c r="J58" s="786"/>
      <c r="K58" s="786" t="str">
        <f ca="1">INDIRECT("Magic!H30")</f>
        <v>D-5 * -10 Secs</v>
      </c>
      <c r="L58" s="786"/>
      <c r="M58" s="790" t="str">
        <f ca="1">INDIRECT("Magic!I30")</f>
        <v>1 Targets +10 IV</v>
      </c>
      <c r="N58" s="790"/>
      <c r="O58" s="790"/>
      <c r="P58" s="757"/>
      <c r="Q58" s="757"/>
      <c r="R58" s="757"/>
      <c r="S58" s="757"/>
      <c r="T58" s="757"/>
      <c r="U58" s="757"/>
      <c r="V58" s="757"/>
      <c r="W58" s="757"/>
      <c r="X58" s="757"/>
      <c r="Y58" s="757"/>
      <c r="Z58" s="757"/>
      <c r="AA58" s="757"/>
      <c r="AB58" s="757"/>
      <c r="AC58" s="294"/>
      <c r="AD58" s="294"/>
      <c r="AE58" s="294"/>
      <c r="AF58" s="294"/>
      <c r="AG58" s="294"/>
    </row>
    <row r="59" spans="1:33" hidden="1" x14ac:dyDescent="0.2">
      <c r="A59" s="203" t="str">
        <f ca="1">INDIRECT("Magic!A31")&amp;". "&amp;INDIRECT("Magic!B31")</f>
        <v xml:space="preserve">. </v>
      </c>
      <c r="B59" s="203"/>
      <c r="C59" s="203"/>
      <c r="D59" s="203"/>
      <c r="E59" s="94">
        <f ca="1">INDIRECT("Magic!C31")</f>
        <v>0</v>
      </c>
      <c r="F59" s="152">
        <f ca="1">INDIRECT("Magic!D31")</f>
        <v>0</v>
      </c>
      <c r="G59" s="152">
        <f ca="1">INDIRECT("Magic!E31")</f>
        <v>0</v>
      </c>
      <c r="H59" s="152">
        <f ca="1">INDIRECT("Magic!F31")</f>
        <v>0</v>
      </c>
      <c r="I59" s="786">
        <f ca="1">INDIRECT("Magic!G31")</f>
        <v>0</v>
      </c>
      <c r="J59" s="786"/>
      <c r="K59" s="786">
        <f ca="1">INDIRECT("Magic!H31")</f>
        <v>0</v>
      </c>
      <c r="L59" s="786"/>
      <c r="M59" s="790">
        <f ca="1">INDIRECT("Magic!I31")</f>
        <v>0</v>
      </c>
      <c r="N59" s="790"/>
      <c r="O59" s="790"/>
      <c r="P59" s="757"/>
      <c r="Q59" s="757"/>
      <c r="R59" s="757"/>
      <c r="S59" s="757"/>
      <c r="T59" s="757"/>
      <c r="U59" s="757"/>
      <c r="V59" s="757"/>
      <c r="W59" s="757"/>
      <c r="X59" s="757"/>
      <c r="Y59" s="757"/>
      <c r="Z59" s="757"/>
      <c r="AA59" s="757"/>
      <c r="AB59" s="757"/>
      <c r="AC59" s="294"/>
      <c r="AD59" s="294"/>
      <c r="AE59" s="294"/>
      <c r="AF59" s="294"/>
      <c r="AG59" s="294"/>
    </row>
    <row r="60" spans="1:33" ht="12.75" hidden="1" customHeight="1" x14ac:dyDescent="0.2">
      <c r="A60" s="203" t="str">
        <f ca="1">INDIRECT("Magic!A32")&amp;". "&amp;INDIRECT("Magic!B32")</f>
        <v>. Illusion (Thaumaturgy)</v>
      </c>
      <c r="B60" s="203"/>
      <c r="C60" s="203"/>
      <c r="D60" s="203"/>
      <c r="E60" s="94" t="str">
        <f ca="1">INDIRECT("Magic!C32")</f>
        <v>Rk</v>
      </c>
      <c r="F60" s="152" t="str">
        <f ca="1">INDIRECT("Magic!D32")</f>
        <v>%</v>
      </c>
      <c r="G60" s="152" t="str">
        <f ca="1">INDIRECT("Magic!E32")</f>
        <v>Dbl</v>
      </c>
      <c r="H60" s="152" t="str">
        <f ca="1">INDIRECT("Magic!F32")</f>
        <v>Trp</v>
      </c>
      <c r="I60" s="786" t="str">
        <f ca="1">INDIRECT("Magic!G32")</f>
        <v>Range</v>
      </c>
      <c r="J60" s="786"/>
      <c r="K60" s="786" t="str">
        <f ca="1">INDIRECT("Magic!H32")</f>
        <v>Duration</v>
      </c>
      <c r="L60" s="786"/>
      <c r="M60" s="790" t="str">
        <f ca="1">INDIRECT("Magic!I32")</f>
        <v>Effect</v>
      </c>
      <c r="N60" s="790"/>
      <c r="O60" s="790"/>
      <c r="P60" s="757"/>
      <c r="Q60" s="757"/>
      <c r="R60" s="757"/>
      <c r="S60" s="757"/>
      <c r="T60" s="757"/>
      <c r="U60" s="757"/>
      <c r="V60" s="757"/>
      <c r="W60" s="757"/>
      <c r="X60" s="757"/>
      <c r="Y60" s="757"/>
      <c r="Z60" s="757"/>
      <c r="AA60" s="757"/>
      <c r="AB60" s="757"/>
      <c r="AC60" s="294"/>
      <c r="AD60" s="294"/>
      <c r="AE60" s="294"/>
      <c r="AF60" s="294"/>
      <c r="AG60" s="294"/>
    </row>
    <row r="61" spans="1:33" hidden="1" x14ac:dyDescent="0.2">
      <c r="A61" s="203" t="str">
        <f ca="1">INDIRECT("Magic!A33")&amp;". "&amp;INDIRECT("Magic!B33")</f>
        <v>T1. Concealed Casting</v>
      </c>
      <c r="B61" s="203"/>
      <c r="C61" s="203"/>
      <c r="D61" s="203"/>
      <c r="E61" s="94">
        <f ca="1">INDIRECT("Magic!C33")</f>
        <v>0</v>
      </c>
      <c r="F61" s="152">
        <f ca="1">INDIRECT("Magic!D33")</f>
        <v>0</v>
      </c>
      <c r="G61" s="152">
        <f ca="1">INDIRECT("Magic!E33")</f>
        <v>0</v>
      </c>
      <c r="H61" s="152">
        <f ca="1">INDIRECT("Magic!F33")</f>
        <v>0</v>
      </c>
      <c r="I61" s="786">
        <f ca="1">INDIRECT("Magic!G33")</f>
        <v>0</v>
      </c>
      <c r="J61" s="786"/>
      <c r="K61" s="786">
        <f ca="1">INDIRECT("Magic!H33")</f>
        <v>0</v>
      </c>
      <c r="L61" s="786"/>
      <c r="M61" s="790" t="str">
        <f ca="1">INDIRECT("Magic!I33")</f>
        <v>Cap eff rank, -20% cast chance</v>
      </c>
      <c r="N61" s="790"/>
      <c r="O61" s="790"/>
      <c r="P61" s="757"/>
      <c r="Q61" s="757"/>
      <c r="R61" s="757"/>
      <c r="S61" s="757"/>
      <c r="T61" s="757"/>
      <c r="U61" s="757"/>
      <c r="V61" s="757"/>
      <c r="W61" s="757"/>
      <c r="X61" s="757"/>
      <c r="Y61" s="757"/>
      <c r="Z61" s="757"/>
      <c r="AA61" s="757"/>
      <c r="AB61" s="757"/>
      <c r="AC61" s="294"/>
      <c r="AD61" s="294"/>
      <c r="AE61" s="294"/>
      <c r="AF61" s="294"/>
      <c r="AG61" s="294"/>
    </row>
    <row r="62" spans="1:33" hidden="1" x14ac:dyDescent="0.2">
      <c r="A62" s="203" t="str">
        <f ca="1">INDIRECT("Magic!A34")&amp;". "&amp;INDIRECT("Magic!B34")</f>
        <v>T2. Enhanced Vision</v>
      </c>
      <c r="B62" s="203"/>
      <c r="C62" s="203"/>
      <c r="D62" s="203"/>
      <c r="E62" s="94">
        <f ca="1">INDIRECT("Magic!C34")</f>
        <v>0</v>
      </c>
      <c r="F62" s="152">
        <f ca="1">INDIRECT("Magic!D34")</f>
        <v>0</v>
      </c>
      <c r="G62" s="152">
        <f ca="1">INDIRECT("Magic!E34")</f>
        <v>0</v>
      </c>
      <c r="H62" s="152">
        <f ca="1">INDIRECT("Magic!F34")</f>
        <v>0</v>
      </c>
      <c r="I62" s="786" t="str">
        <f ca="1">INDIRECT("Magic!G34")</f>
        <v>10 Feet</v>
      </c>
      <c r="J62" s="786"/>
      <c r="K62" s="786">
        <f ca="1">INDIRECT("Magic!H34")</f>
        <v>0</v>
      </c>
      <c r="L62" s="786"/>
      <c r="M62" s="790">
        <f ca="1">INDIRECT("Magic!I34")</f>
        <v>0</v>
      </c>
      <c r="N62" s="790"/>
      <c r="O62" s="790"/>
      <c r="P62" s="757"/>
      <c r="Q62" s="757"/>
      <c r="R62" s="757"/>
      <c r="S62" s="757"/>
      <c r="T62" s="757"/>
      <c r="U62" s="757"/>
      <c r="V62" s="757"/>
      <c r="W62" s="757"/>
      <c r="X62" s="757"/>
      <c r="Y62" s="757"/>
      <c r="Z62" s="757"/>
      <c r="AA62" s="757"/>
      <c r="AB62" s="757"/>
      <c r="AC62" s="294"/>
      <c r="AD62" s="294"/>
      <c r="AE62" s="294"/>
      <c r="AF62" s="294"/>
      <c r="AG62" s="294"/>
    </row>
    <row r="63" spans="1:33" hidden="1" x14ac:dyDescent="0.2">
      <c r="A63" s="203" t="str">
        <f ca="1">INDIRECT("Magic!A35")&amp;". "&amp;INDIRECT("Magic!B35")</f>
        <v>T3. Project Image</v>
      </c>
      <c r="B63" s="203"/>
      <c r="C63" s="203"/>
      <c r="D63" s="203"/>
      <c r="E63" s="94">
        <f ca="1">INDIRECT("Magic!C35")</f>
        <v>0</v>
      </c>
      <c r="F63" s="152">
        <f ca="1">INDIRECT("Magic!D35")</f>
        <v>0</v>
      </c>
      <c r="G63" s="152">
        <f ca="1">INDIRECT("Magic!E35")</f>
        <v>0</v>
      </c>
      <c r="H63" s="152">
        <f ca="1">INDIRECT("Magic!F35")</f>
        <v>0</v>
      </c>
      <c r="I63" s="786" t="str">
        <f ca="1">INDIRECT("Magic!G35")</f>
        <v>15 Feet</v>
      </c>
      <c r="J63" s="786"/>
      <c r="K63" s="786">
        <f ca="1">INDIRECT("Magic!H35")</f>
        <v>0</v>
      </c>
      <c r="L63" s="786"/>
      <c r="M63" s="790">
        <f ca="1">INDIRECT("Magic!I35")</f>
        <v>0</v>
      </c>
      <c r="N63" s="790"/>
      <c r="O63" s="790"/>
      <c r="P63" s="757"/>
      <c r="Q63" s="757"/>
      <c r="R63" s="757"/>
      <c r="S63" s="757"/>
      <c r="T63" s="757"/>
      <c r="U63" s="757"/>
      <c r="V63" s="757"/>
      <c r="W63" s="757"/>
      <c r="X63" s="757"/>
      <c r="Y63" s="757"/>
      <c r="Z63" s="757"/>
      <c r="AA63" s="757"/>
      <c r="AB63" s="757"/>
      <c r="AC63" s="294"/>
      <c r="AD63" s="294"/>
      <c r="AE63" s="294"/>
      <c r="AF63" s="294"/>
      <c r="AG63" s="294"/>
    </row>
    <row r="64" spans="1:33" hidden="1" x14ac:dyDescent="0.2">
      <c r="A64" s="203" t="str">
        <f ca="1">INDIRECT("Magic!A36")&amp;". "&amp;INDIRECT("Magic!B36")</f>
        <v>G1. Audile Illusion</v>
      </c>
      <c r="B64" s="203"/>
      <c r="C64" s="203"/>
      <c r="D64" s="203"/>
      <c r="E64" s="94">
        <f ca="1">INDIRECT("Magic!C36")</f>
        <v>0</v>
      </c>
      <c r="F64" s="152">
        <f ca="1">INDIRECT("Magic!D36")</f>
        <v>40</v>
      </c>
      <c r="G64" s="152">
        <f ca="1">INDIRECT("Magic!E36")</f>
        <v>6</v>
      </c>
      <c r="H64" s="152">
        <f ca="1">INDIRECT("Magic!F36")</f>
        <v>2</v>
      </c>
      <c r="I64" s="786" t="str">
        <f ca="1">INDIRECT("Magic!G36")</f>
        <v>15 Feet</v>
      </c>
      <c r="J64" s="786"/>
      <c r="K64" s="786" t="str">
        <f ca="1">INDIRECT("Magic!H36")</f>
        <v>10 Mins</v>
      </c>
      <c r="L64" s="786"/>
      <c r="M64" s="790">
        <f ca="1">INDIRECT("Magic!I36")</f>
        <v>0</v>
      </c>
      <c r="N64" s="790"/>
      <c r="O64" s="790"/>
      <c r="P64" s="757"/>
      <c r="Q64" s="757"/>
      <c r="R64" s="757"/>
      <c r="S64" s="757"/>
      <c r="T64" s="757"/>
      <c r="U64" s="757"/>
      <c r="V64" s="757"/>
      <c r="W64" s="757"/>
      <c r="X64" s="757"/>
      <c r="Y64" s="757"/>
      <c r="Z64" s="757"/>
      <c r="AA64" s="757"/>
      <c r="AB64" s="757"/>
      <c r="AC64" s="294"/>
      <c r="AD64" s="294"/>
      <c r="AE64" s="294"/>
      <c r="AF64" s="294"/>
      <c r="AG64" s="294"/>
    </row>
    <row r="65" spans="1:33" hidden="1" x14ac:dyDescent="0.2">
      <c r="A65" s="203" t="str">
        <f ca="1">INDIRECT("Magic!A37")&amp;". "&amp;INDIRECT("Magic!B37")</f>
        <v>G2. Flash of Light</v>
      </c>
      <c r="B65" s="203"/>
      <c r="C65" s="203"/>
      <c r="D65" s="203"/>
      <c r="E65" s="94">
        <f ca="1">INDIRECT("Magic!C37")</f>
        <v>0</v>
      </c>
      <c r="F65" s="152">
        <f ca="1">INDIRECT("Magic!D37")</f>
        <v>30</v>
      </c>
      <c r="G65" s="152">
        <f ca="1">INDIRECT("Magic!E37")</f>
        <v>4.5</v>
      </c>
      <c r="H65" s="152">
        <f ca="1">INDIRECT("Magic!F37")</f>
        <v>1.5</v>
      </c>
      <c r="I65" s="786" t="str">
        <f ca="1">INDIRECT("Magic!G37")</f>
        <v>15 Feet</v>
      </c>
      <c r="J65" s="786"/>
      <c r="K65" s="786" t="str">
        <f ca="1">INDIRECT("Magic!H37")</f>
        <v>Immediate</v>
      </c>
      <c r="L65" s="786"/>
      <c r="M65" s="790">
        <f ca="1">INDIRECT("Magic!I37")</f>
        <v>0</v>
      </c>
      <c r="N65" s="790"/>
      <c r="O65" s="790"/>
      <c r="P65" s="757"/>
      <c r="Q65" s="757"/>
      <c r="R65" s="757"/>
      <c r="S65" s="757"/>
      <c r="T65" s="757"/>
      <c r="U65" s="757"/>
      <c r="V65" s="757"/>
      <c r="W65" s="757"/>
      <c r="X65" s="757"/>
      <c r="Y65" s="757"/>
      <c r="Z65" s="757"/>
      <c r="AA65" s="757"/>
      <c r="AB65" s="757"/>
      <c r="AC65" s="294"/>
      <c r="AD65" s="294"/>
      <c r="AE65" s="294"/>
      <c r="AF65" s="294"/>
      <c r="AG65" s="294"/>
    </row>
    <row r="66" spans="1:33" hidden="1" x14ac:dyDescent="0.2">
      <c r="A66" s="203" t="str">
        <f ca="1">INDIRECT("Magic!A38")&amp;". "&amp;INDIRECT("Magic!B38")</f>
        <v>G3. Illusion of Food</v>
      </c>
      <c r="B66" s="203"/>
      <c r="C66" s="203"/>
      <c r="D66" s="203"/>
      <c r="E66" s="94">
        <f ca="1">INDIRECT("Magic!C38")</f>
        <v>0</v>
      </c>
      <c r="F66" s="152">
        <f ca="1">INDIRECT("Magic!D38")</f>
        <v>50</v>
      </c>
      <c r="G66" s="152">
        <f ca="1">INDIRECT("Magic!E38")</f>
        <v>7.5</v>
      </c>
      <c r="H66" s="152">
        <f ca="1">INDIRECT("Magic!F38")</f>
        <v>2.5</v>
      </c>
      <c r="I66" s="786" t="str">
        <f ca="1">INDIRECT("Magic!G38")</f>
        <v>15 Feet</v>
      </c>
      <c r="J66" s="786"/>
      <c r="K66" s="786" t="str">
        <f ca="1">INDIRECT("Magic!H38")</f>
        <v>10 Mins</v>
      </c>
      <c r="L66" s="786"/>
      <c r="M66" s="790">
        <f ca="1">INDIRECT("Magic!I38")</f>
        <v>0</v>
      </c>
      <c r="N66" s="790"/>
      <c r="O66" s="790"/>
      <c r="P66" s="757"/>
      <c r="Q66" s="757"/>
      <c r="R66" s="757"/>
      <c r="S66" s="757"/>
      <c r="T66" s="757"/>
      <c r="U66" s="757"/>
      <c r="V66" s="757"/>
      <c r="W66" s="757"/>
      <c r="X66" s="757"/>
      <c r="Y66" s="757"/>
      <c r="Z66" s="757"/>
      <c r="AA66" s="757"/>
      <c r="AB66" s="757"/>
      <c r="AC66" s="294"/>
      <c r="AD66" s="294"/>
      <c r="AE66" s="294"/>
      <c r="AF66" s="294"/>
      <c r="AG66" s="294"/>
    </row>
    <row r="67" spans="1:33" x14ac:dyDescent="0.2">
      <c r="A67" s="204"/>
      <c r="B67" s="204"/>
      <c r="C67" s="204"/>
      <c r="D67" s="204"/>
      <c r="E67" s="150"/>
      <c r="F67" s="153"/>
      <c r="G67" s="153"/>
      <c r="H67" s="153"/>
      <c r="I67" s="802"/>
      <c r="J67" s="802"/>
      <c r="K67" s="802"/>
      <c r="L67" s="802"/>
      <c r="M67" s="801"/>
      <c r="N67" s="801"/>
      <c r="O67" s="801"/>
      <c r="P67" s="757"/>
      <c r="Q67" s="757"/>
      <c r="R67" s="757"/>
      <c r="S67" s="757"/>
      <c r="T67" s="757"/>
      <c r="U67" s="757"/>
      <c r="V67" s="757"/>
      <c r="W67" s="757"/>
      <c r="X67" s="757"/>
      <c r="Y67" s="757"/>
      <c r="Z67" s="757"/>
      <c r="AA67" s="757"/>
      <c r="AB67" s="757"/>
      <c r="AC67" s="294"/>
      <c r="AD67" s="294"/>
      <c r="AE67" s="294"/>
      <c r="AF67" s="294"/>
      <c r="AG67" s="294"/>
    </row>
    <row r="68" spans="1:33" ht="7.5" customHeight="1" x14ac:dyDescent="0.2">
      <c r="A68" s="202"/>
      <c r="B68" s="202"/>
      <c r="C68" s="202"/>
      <c r="D68" s="202"/>
      <c r="E68" s="202"/>
      <c r="F68" s="202"/>
      <c r="G68" s="202"/>
      <c r="H68" s="202"/>
      <c r="I68" s="202"/>
      <c r="J68" s="202"/>
      <c r="K68" s="202"/>
      <c r="L68" s="202"/>
      <c r="M68" s="202"/>
      <c r="N68" s="202"/>
      <c r="O68" s="202"/>
      <c r="P68" s="202"/>
      <c r="Q68" s="202"/>
      <c r="R68" s="202"/>
      <c r="S68" s="202"/>
      <c r="T68" s="202"/>
      <c r="U68" s="202"/>
      <c r="V68" s="202"/>
      <c r="W68" s="202"/>
      <c r="X68" s="202"/>
      <c r="Y68" s="202"/>
      <c r="Z68" s="202"/>
      <c r="AA68" s="202"/>
      <c r="AB68" s="202"/>
      <c r="AC68" s="202"/>
      <c r="AD68" s="202"/>
      <c r="AE68" s="202"/>
      <c r="AF68" s="202"/>
      <c r="AG68" s="202"/>
    </row>
    <row r="69" spans="1:33" x14ac:dyDescent="0.2">
      <c r="A69" s="189" t="str">
        <f>Skills!A1</f>
        <v>Skill</v>
      </c>
      <c r="B69" s="756"/>
      <c r="C69" s="756"/>
      <c r="D69" s="756"/>
      <c r="E69" s="188" t="str">
        <f>Skills!B1</f>
        <v>Rk</v>
      </c>
      <c r="F69" s="188" t="str">
        <f>Skills!C1</f>
        <v>BC%</v>
      </c>
      <c r="G69" s="803" t="str">
        <f>Skills!D1</f>
        <v>Ability / Notes</v>
      </c>
      <c r="H69" s="824"/>
      <c r="I69" s="824"/>
      <c r="J69" s="824"/>
      <c r="K69" s="824"/>
      <c r="L69" s="824"/>
      <c r="M69" s="824"/>
      <c r="N69" s="824"/>
      <c r="O69" s="824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33" x14ac:dyDescent="0.2">
      <c r="A70" s="201" t="str">
        <f>IF(Skills!A2&lt;&gt;"",Skills!A2,"")</f>
        <v>Alchemist</v>
      </c>
      <c r="B70" s="201"/>
      <c r="C70" s="201"/>
      <c r="D70" s="201"/>
      <c r="E70" s="43" t="str">
        <f>IF(Skills!B2&lt;&gt;"",Skills!B2,"")</f>
        <v>Un</v>
      </c>
      <c r="F70" s="71" t="str">
        <f>IF(Skills!C2&lt;&gt;"",Skills!C2,"")</f>
        <v/>
      </c>
      <c r="G70" s="764" t="str">
        <f>IF(Skills!D2&lt;&gt;"",Skills!D2,"")</f>
        <v/>
      </c>
      <c r="H70" s="825"/>
      <c r="I70" s="825"/>
      <c r="J70" s="825"/>
      <c r="K70" s="825"/>
      <c r="L70" s="825"/>
      <c r="M70" s="825"/>
      <c r="N70" s="825"/>
      <c r="O70" s="825"/>
      <c r="P70" s="762"/>
      <c r="Q70" s="762"/>
      <c r="R70" s="762"/>
      <c r="S70" s="762"/>
      <c r="T70" s="762"/>
      <c r="U70" s="762"/>
      <c r="V70" s="762"/>
      <c r="W70" s="762"/>
      <c r="X70" s="762"/>
      <c r="Y70" s="762"/>
      <c r="Z70" s="762"/>
      <c r="AA70" s="762"/>
      <c r="AB70" s="762"/>
      <c r="AC70" s="296"/>
      <c r="AD70" s="296"/>
      <c r="AE70" s="296"/>
      <c r="AF70" s="296"/>
      <c r="AG70" s="296"/>
    </row>
    <row r="71" spans="1:33" x14ac:dyDescent="0.2">
      <c r="A71" s="201" t="str">
        <f>IF(Skills!A3&lt;&gt;"",Skills!A3,"")</f>
        <v/>
      </c>
      <c r="B71" s="201"/>
      <c r="C71" s="201"/>
      <c r="D71" s="201"/>
      <c r="E71" s="43" t="str">
        <f>IF(Skills!B3&lt;&gt;"",Skills!B3,"")</f>
        <v/>
      </c>
      <c r="F71" s="71" t="str">
        <f>IF(Skills!C3&lt;&gt;"",Skills!C3,"")</f>
        <v/>
      </c>
      <c r="G71" s="764" t="str">
        <f>IF(Skills!D3&lt;&gt;"",Skills!D3,"")</f>
        <v/>
      </c>
      <c r="H71" s="764"/>
      <c r="I71" s="764"/>
      <c r="J71" s="764"/>
      <c r="K71" s="764"/>
      <c r="L71" s="764"/>
      <c r="M71" s="764"/>
      <c r="N71" s="764"/>
      <c r="O71" s="764"/>
      <c r="P71" s="758"/>
      <c r="Q71" s="758"/>
      <c r="R71" s="758"/>
      <c r="S71" s="758"/>
      <c r="T71" s="758"/>
      <c r="U71" s="758"/>
      <c r="V71" s="758"/>
      <c r="W71" s="758"/>
      <c r="X71" s="758"/>
      <c r="Y71" s="758"/>
      <c r="Z71" s="758"/>
      <c r="AA71" s="758"/>
      <c r="AB71" s="758"/>
      <c r="AC71" s="296"/>
      <c r="AD71" s="296"/>
      <c r="AE71" s="296"/>
      <c r="AF71" s="296"/>
      <c r="AG71" s="296"/>
    </row>
    <row r="72" spans="1:33" x14ac:dyDescent="0.2">
      <c r="A72" s="201" t="str">
        <f>IF(Skills!A4&lt;&gt;"",Skills!A4,"")</f>
        <v>Armourer</v>
      </c>
      <c r="B72" s="201"/>
      <c r="C72" s="201"/>
      <c r="D72" s="201"/>
      <c r="E72" s="43" t="str">
        <f>IF(Skills!B4&lt;&gt;"",Skills!B4,"")</f>
        <v>Un</v>
      </c>
      <c r="F72" s="71" t="str">
        <f>IF(Skills!C4&lt;&gt;"",Skills!C4,"")</f>
        <v/>
      </c>
      <c r="G72" s="764" t="str">
        <f>IF(Skills!D4&lt;&gt;"",Skills!D4,"")</f>
        <v>Selected categories?</v>
      </c>
      <c r="H72" s="764"/>
      <c r="I72" s="764"/>
      <c r="J72" s="764"/>
      <c r="K72" s="764"/>
      <c r="L72" s="764"/>
      <c r="M72" s="764"/>
      <c r="N72" s="764"/>
      <c r="O72" s="764"/>
      <c r="P72" s="758"/>
      <c r="Q72" s="758"/>
      <c r="R72" s="758"/>
      <c r="S72" s="758"/>
      <c r="T72" s="758"/>
      <c r="U72" s="758"/>
      <c r="V72" s="758"/>
      <c r="W72" s="758"/>
      <c r="X72" s="758"/>
      <c r="Y72" s="758"/>
      <c r="Z72" s="758"/>
      <c r="AA72" s="758"/>
      <c r="AB72" s="758"/>
      <c r="AC72" s="296"/>
      <c r="AD72" s="296"/>
      <c r="AE72" s="296"/>
      <c r="AF72" s="296"/>
      <c r="AG72" s="296"/>
    </row>
    <row r="73" spans="1:33" x14ac:dyDescent="0.2">
      <c r="A73" s="201" t="str">
        <f>IF(Skills!A5&lt;&gt;"",Skills!A5,"")</f>
        <v/>
      </c>
      <c r="B73" s="201"/>
      <c r="C73" s="201"/>
      <c r="D73" s="201"/>
      <c r="E73" s="43" t="str">
        <f>IF(Skills!B5&lt;&gt;"",Skills!B5,"")</f>
        <v/>
      </c>
      <c r="F73" s="71" t="str">
        <f>IF(Skills!C5&lt;&gt;"",Skills!C5,"")</f>
        <v/>
      </c>
      <c r="G73" s="764" t="str">
        <f>IF(Skills!D5&lt;&gt;"",Skills!D5,"")</f>
        <v/>
      </c>
      <c r="H73" s="764"/>
      <c r="I73" s="764"/>
      <c r="J73" s="764"/>
      <c r="K73" s="764"/>
      <c r="L73" s="764"/>
      <c r="M73" s="764"/>
      <c r="N73" s="764"/>
      <c r="O73" s="764"/>
      <c r="P73" s="758"/>
      <c r="Q73" s="758"/>
      <c r="R73" s="758"/>
      <c r="S73" s="758"/>
      <c r="T73" s="758"/>
      <c r="U73" s="758"/>
      <c r="V73" s="758"/>
      <c r="W73" s="758"/>
      <c r="X73" s="758"/>
      <c r="Y73" s="758"/>
      <c r="Z73" s="758"/>
      <c r="AA73" s="758"/>
      <c r="AB73" s="758"/>
      <c r="AC73" s="296"/>
      <c r="AD73" s="296"/>
      <c r="AE73" s="296"/>
      <c r="AF73" s="296"/>
      <c r="AG73" s="296"/>
    </row>
    <row r="74" spans="1:33" x14ac:dyDescent="0.2">
      <c r="A74" s="201" t="str">
        <f>IF(Skills!A6&lt;&gt;"",Skills!A6,"")</f>
        <v>Assassin</v>
      </c>
      <c r="B74" s="201"/>
      <c r="C74" s="201"/>
      <c r="D74" s="201"/>
      <c r="E74" s="43" t="str">
        <f>IF(Skills!B6&lt;&gt;"",Skills!B6,"")</f>
        <v>Un</v>
      </c>
      <c r="F74" s="71" t="str">
        <f>IF(Skills!C6&lt;&gt;"",Skills!C6,"")</f>
        <v/>
      </c>
      <c r="G74" s="764" t="str">
        <f>IF(Skills!D6&lt;&gt;"",Skills!D6,"")</f>
        <v/>
      </c>
      <c r="H74" s="764"/>
      <c r="I74" s="764"/>
      <c r="J74" s="764"/>
      <c r="K74" s="764"/>
      <c r="L74" s="764"/>
      <c r="M74" s="764"/>
      <c r="N74" s="764"/>
      <c r="O74" s="764"/>
      <c r="P74" s="758"/>
      <c r="Q74" s="758"/>
      <c r="R74" s="758"/>
      <c r="S74" s="758"/>
      <c r="T74" s="758"/>
      <c r="U74" s="758"/>
      <c r="V74" s="758"/>
      <c r="W74" s="758"/>
      <c r="X74" s="758"/>
      <c r="Y74" s="758"/>
      <c r="Z74" s="758"/>
      <c r="AA74" s="758"/>
      <c r="AB74" s="758"/>
      <c r="AC74" s="296"/>
      <c r="AD74" s="296"/>
      <c r="AE74" s="296"/>
      <c r="AF74" s="296"/>
      <c r="AG74" s="296"/>
    </row>
    <row r="75" spans="1:33" x14ac:dyDescent="0.2">
      <c r="A75" s="201" t="str">
        <f>IF(Skills!A7&lt;&gt;"",Skills!A7,"")</f>
        <v/>
      </c>
      <c r="B75" s="201"/>
      <c r="C75" s="201"/>
      <c r="D75" s="201"/>
      <c r="E75" s="43" t="str">
        <f>IF(Skills!B7&lt;&gt;"",Skills!B7,"")</f>
        <v/>
      </c>
      <c r="F75" s="71" t="str">
        <f>IF(Skills!C7&lt;&gt;"",Skills!C7,"")</f>
        <v/>
      </c>
      <c r="G75" s="764" t="str">
        <f>IF(Skills!D7&lt;&gt;"",Skills!D7,"")</f>
        <v/>
      </c>
      <c r="H75" s="764"/>
      <c r="I75" s="764"/>
      <c r="J75" s="764"/>
      <c r="K75" s="764"/>
      <c r="L75" s="764"/>
      <c r="M75" s="764"/>
      <c r="N75" s="764"/>
      <c r="O75" s="764"/>
      <c r="P75" s="758"/>
      <c r="Q75" s="758"/>
      <c r="R75" s="758"/>
      <c r="S75" s="758"/>
      <c r="T75" s="758"/>
      <c r="U75" s="758"/>
      <c r="V75" s="758"/>
      <c r="W75" s="758"/>
      <c r="X75" s="758"/>
      <c r="Y75" s="758"/>
      <c r="Z75" s="758"/>
      <c r="AA75" s="758"/>
      <c r="AB75" s="758"/>
      <c r="AC75" s="296"/>
      <c r="AD75" s="296"/>
      <c r="AE75" s="296"/>
      <c r="AF75" s="296"/>
      <c r="AG75" s="296"/>
    </row>
    <row r="76" spans="1:33" x14ac:dyDescent="0.2">
      <c r="A76" s="201" t="str">
        <f>IF(Skills!A8&lt;&gt;"",Skills!A8,"")</f>
        <v>Astrologer</v>
      </c>
      <c r="B76" s="201"/>
      <c r="C76" s="201"/>
      <c r="D76" s="201"/>
      <c r="E76" s="43" t="str">
        <f>IF(Skills!B8&lt;&gt;"",Skills!B8,"")</f>
        <v>Un</v>
      </c>
      <c r="F76" s="71" t="str">
        <f>IF(Skills!C8&lt;&gt;"",Skills!C8,"")</f>
        <v/>
      </c>
      <c r="G76" s="764" t="str">
        <f>IF(Skills!D8&lt;&gt;"",Skills!D8,"")</f>
        <v/>
      </c>
      <c r="H76" s="764"/>
      <c r="I76" s="764"/>
      <c r="J76" s="764"/>
      <c r="K76" s="764"/>
      <c r="L76" s="764"/>
      <c r="M76" s="764"/>
      <c r="N76" s="764"/>
      <c r="O76" s="764"/>
      <c r="P76" s="758"/>
      <c r="Q76" s="758"/>
      <c r="R76" s="758"/>
      <c r="S76" s="758"/>
      <c r="T76" s="758"/>
      <c r="U76" s="758"/>
      <c r="V76" s="758"/>
      <c r="W76" s="758"/>
      <c r="X76" s="758"/>
      <c r="Y76" s="758"/>
      <c r="Z76" s="758"/>
      <c r="AA76" s="758"/>
      <c r="AB76" s="758"/>
      <c r="AC76" s="296"/>
      <c r="AD76" s="296"/>
      <c r="AE76" s="296"/>
      <c r="AF76" s="296"/>
      <c r="AG76" s="296"/>
    </row>
    <row r="77" spans="1:33" x14ac:dyDescent="0.2">
      <c r="A77" s="201" t="str">
        <f>IF(Skills!A9&lt;&gt;"",Skills!A9,"")</f>
        <v/>
      </c>
      <c r="B77" s="201"/>
      <c r="C77" s="201"/>
      <c r="D77" s="201"/>
      <c r="E77" s="43" t="str">
        <f>IF(Skills!B9&lt;&gt;"",Skills!B9,"")</f>
        <v/>
      </c>
      <c r="F77" s="71" t="str">
        <f>IF(Skills!C9&lt;&gt;"",Skills!C9,"")</f>
        <v/>
      </c>
      <c r="G77" s="764" t="str">
        <f>IF(Skills!D9&lt;&gt;"",Skills!D9,"")</f>
        <v/>
      </c>
      <c r="H77" s="764"/>
      <c r="I77" s="764"/>
      <c r="J77" s="764"/>
      <c r="K77" s="764"/>
      <c r="L77" s="764"/>
      <c r="M77" s="764"/>
      <c r="N77" s="764"/>
      <c r="O77" s="764"/>
      <c r="P77" s="758"/>
      <c r="Q77" s="758"/>
      <c r="R77" s="758"/>
      <c r="S77" s="758"/>
      <c r="T77" s="758"/>
      <c r="U77" s="758"/>
      <c r="V77" s="758"/>
      <c r="W77" s="758"/>
      <c r="X77" s="758"/>
      <c r="Y77" s="758"/>
      <c r="Z77" s="758"/>
      <c r="AA77" s="758"/>
      <c r="AB77" s="758"/>
      <c r="AC77" s="296"/>
      <c r="AD77" s="296"/>
      <c r="AE77" s="296"/>
      <c r="AF77" s="296"/>
      <c r="AG77" s="296"/>
    </row>
    <row r="78" spans="1:33" x14ac:dyDescent="0.2">
      <c r="A78" s="201" t="str">
        <f>IF(Skills!A10&lt;&gt;"",Skills!A10,"")</f>
        <v>Beastmaster</v>
      </c>
      <c r="B78" s="201"/>
      <c r="C78" s="201"/>
      <c r="D78" s="201"/>
      <c r="E78" s="43" t="str">
        <f>IF(Skills!B10&lt;&gt;"",Skills!B10,"")</f>
        <v>Un</v>
      </c>
      <c r="F78" s="71" t="str">
        <f>IF(Skills!C10&lt;&gt;"",Skills!C10,"")</f>
        <v/>
      </c>
      <c r="G78" s="764" t="str">
        <f>IF(Skills!D10&lt;&gt;"",Skills!D10,"")</f>
        <v>Selected Animal Types?</v>
      </c>
      <c r="H78" s="764"/>
      <c r="I78" s="764"/>
      <c r="J78" s="764"/>
      <c r="K78" s="764"/>
      <c r="L78" s="764"/>
      <c r="M78" s="764"/>
      <c r="N78" s="764"/>
      <c r="O78" s="764"/>
      <c r="P78" s="758"/>
      <c r="Q78" s="758"/>
      <c r="R78" s="758"/>
      <c r="S78" s="758"/>
      <c r="T78" s="758"/>
      <c r="U78" s="758"/>
      <c r="V78" s="758"/>
      <c r="W78" s="758"/>
      <c r="X78" s="758"/>
      <c r="Y78" s="758"/>
      <c r="Z78" s="758"/>
      <c r="AA78" s="758"/>
      <c r="AB78" s="758"/>
      <c r="AC78" s="296"/>
      <c r="AD78" s="296"/>
      <c r="AE78" s="296"/>
      <c r="AF78" s="296"/>
      <c r="AG78" s="296"/>
    </row>
    <row r="79" spans="1:33" x14ac:dyDescent="0.2">
      <c r="A79" s="201" t="str">
        <f>IF(Skills!A11&lt;&gt;"",Skills!A11,"")</f>
        <v/>
      </c>
      <c r="B79" s="201"/>
      <c r="C79" s="201"/>
      <c r="D79" s="201"/>
      <c r="E79" s="43" t="str">
        <f>IF(Skills!B11&lt;&gt;"",Skills!B11,"")</f>
        <v/>
      </c>
      <c r="F79" s="71" t="str">
        <f>IF(Skills!C11&lt;&gt;"",Skills!C11,"")</f>
        <v/>
      </c>
      <c r="G79" s="764" t="str">
        <f>IF(Skills!D11&lt;&gt;"",Skills!D11,"")</f>
        <v/>
      </c>
      <c r="H79" s="764"/>
      <c r="I79" s="764"/>
      <c r="J79" s="764"/>
      <c r="K79" s="764"/>
      <c r="L79" s="764"/>
      <c r="M79" s="764"/>
      <c r="N79" s="764"/>
      <c r="O79" s="764"/>
      <c r="P79" s="758"/>
      <c r="Q79" s="758"/>
      <c r="R79" s="758"/>
      <c r="S79" s="758"/>
      <c r="T79" s="758"/>
      <c r="U79" s="758"/>
      <c r="V79" s="758"/>
      <c r="W79" s="758"/>
      <c r="X79" s="758"/>
      <c r="Y79" s="758"/>
      <c r="Z79" s="758"/>
      <c r="AA79" s="758"/>
      <c r="AB79" s="758"/>
      <c r="AC79" s="296"/>
      <c r="AD79" s="296"/>
      <c r="AE79" s="296"/>
      <c r="AF79" s="296"/>
      <c r="AG79" s="296"/>
    </row>
    <row r="80" spans="1:33" x14ac:dyDescent="0.2">
      <c r="A80" s="250" t="str">
        <f>IF(Skills!A12&lt;&gt;"",Skills!A12,"")</f>
        <v>Courtier</v>
      </c>
      <c r="B80" s="250"/>
      <c r="C80" s="250"/>
      <c r="D80" s="250"/>
      <c r="E80" s="71" t="str">
        <f>IF(Skills!B12&lt;&gt;"",Skills!B12,"")</f>
        <v>Un</v>
      </c>
      <c r="F80" s="71" t="str">
        <f>IF(Skills!C12&lt;&gt;"",Skills!C12,"")</f>
        <v/>
      </c>
      <c r="G80" s="764" t="str">
        <f>IF(Skills!D12&lt;&gt;"",Skills!D12,"")</f>
        <v>Selected abilities?</v>
      </c>
      <c r="H80" s="764"/>
      <c r="I80" s="764"/>
      <c r="J80" s="764"/>
      <c r="K80" s="764"/>
      <c r="L80" s="764"/>
      <c r="M80" s="764"/>
      <c r="N80" s="764"/>
      <c r="O80" s="764"/>
      <c r="P80" s="758"/>
      <c r="Q80" s="758"/>
      <c r="R80" s="758"/>
      <c r="S80" s="758"/>
      <c r="T80" s="758"/>
      <c r="U80" s="758"/>
      <c r="V80" s="758"/>
      <c r="W80" s="758"/>
      <c r="X80" s="758"/>
      <c r="Y80" s="758"/>
      <c r="Z80" s="758"/>
      <c r="AA80" s="758"/>
      <c r="AB80" s="758"/>
      <c r="AC80" s="295"/>
      <c r="AD80" s="295"/>
      <c r="AE80" s="295"/>
      <c r="AF80" s="295"/>
      <c r="AG80" s="295"/>
    </row>
    <row r="81" spans="1:33" x14ac:dyDescent="0.2">
      <c r="A81" s="250" t="str">
        <f>IF(Skills!A13&lt;&gt;"",Skills!A13,"")</f>
        <v/>
      </c>
      <c r="B81" s="250"/>
      <c r="C81" s="250"/>
      <c r="D81" s="250"/>
      <c r="E81" s="71" t="str">
        <f>IF(Skills!B13&lt;&gt;"",Skills!B13,"")</f>
        <v/>
      </c>
      <c r="F81" s="71" t="str">
        <f>IF(Skills!C13&lt;&gt;"",Skills!C13,"")</f>
        <v/>
      </c>
      <c r="G81" s="764" t="str">
        <f>IF(Skills!D13&lt;&gt;"",Skills!D13,"")</f>
        <v/>
      </c>
      <c r="H81" s="764"/>
      <c r="I81" s="764"/>
      <c r="J81" s="764"/>
      <c r="K81" s="764"/>
      <c r="L81" s="764"/>
      <c r="M81" s="764"/>
      <c r="N81" s="764"/>
      <c r="O81" s="764"/>
      <c r="P81" s="758"/>
      <c r="Q81" s="758"/>
      <c r="R81" s="758"/>
      <c r="S81" s="758"/>
      <c r="T81" s="758"/>
      <c r="U81" s="758"/>
      <c r="V81" s="758"/>
      <c r="W81" s="758"/>
      <c r="X81" s="758"/>
      <c r="Y81" s="758"/>
      <c r="Z81" s="758"/>
      <c r="AA81" s="758"/>
      <c r="AB81" s="758"/>
      <c r="AC81" s="296"/>
      <c r="AD81" s="296"/>
      <c r="AE81" s="296"/>
      <c r="AF81" s="296"/>
      <c r="AG81" s="296"/>
    </row>
    <row r="82" spans="1:33" x14ac:dyDescent="0.2">
      <c r="A82" s="250" t="str">
        <f>IF(Skills!A14&lt;&gt;"",Skills!A14,"")</f>
        <v>Healer</v>
      </c>
      <c r="B82" s="250"/>
      <c r="C82" s="250"/>
      <c r="D82" s="250"/>
      <c r="E82" s="71" t="str">
        <f>IF(Skills!B14&lt;&gt;"",Skills!B14,"")</f>
        <v>Un</v>
      </c>
      <c r="F82" s="71" t="str">
        <f>IF(Skills!C14&lt;&gt;"",Skills!C14,"")</f>
        <v/>
      </c>
      <c r="G82" s="764" t="str">
        <f>IF(Skills!D14&lt;&gt;"",Skills!D14,"")</f>
        <v/>
      </c>
      <c r="H82" s="764"/>
      <c r="I82" s="764"/>
      <c r="J82" s="764"/>
      <c r="K82" s="764"/>
      <c r="L82" s="764"/>
      <c r="M82" s="764"/>
      <c r="N82" s="764"/>
      <c r="O82" s="764"/>
      <c r="P82" s="758"/>
      <c r="Q82" s="758"/>
      <c r="R82" s="758"/>
      <c r="S82" s="758"/>
      <c r="T82" s="758"/>
      <c r="U82" s="758"/>
      <c r="V82" s="758"/>
      <c r="W82" s="758"/>
      <c r="X82" s="758"/>
      <c r="Y82" s="758"/>
      <c r="Z82" s="758"/>
      <c r="AA82" s="758"/>
      <c r="AB82" s="758"/>
      <c r="AC82" s="296"/>
      <c r="AD82" s="296"/>
      <c r="AE82" s="296"/>
      <c r="AF82" s="296"/>
      <c r="AG82" s="296"/>
    </row>
    <row r="83" spans="1:33" x14ac:dyDescent="0.2">
      <c r="A83" s="250" t="str">
        <f>IF(Skills!A15&lt;&gt;"",Skills!A15,"")</f>
        <v/>
      </c>
      <c r="B83" s="250"/>
      <c r="C83" s="250"/>
      <c r="D83" s="250"/>
      <c r="E83" s="71" t="str">
        <f>IF(Skills!B15&lt;&gt;"",Skills!B15,"")</f>
        <v/>
      </c>
      <c r="F83" s="71" t="str">
        <f>IF(Skills!C15&lt;&gt;"",Skills!C15,"")</f>
        <v/>
      </c>
      <c r="G83" s="764" t="str">
        <f>IF(Skills!D15&lt;&gt;"",Skills!D15,"")</f>
        <v/>
      </c>
      <c r="H83" s="764"/>
      <c r="I83" s="764"/>
      <c r="J83" s="764"/>
      <c r="K83" s="764"/>
      <c r="L83" s="764"/>
      <c r="M83" s="764"/>
      <c r="N83" s="764"/>
      <c r="O83" s="764"/>
      <c r="P83" s="758"/>
      <c r="Q83" s="758"/>
      <c r="R83" s="758"/>
      <c r="S83" s="758"/>
      <c r="T83" s="758"/>
      <c r="U83" s="758"/>
      <c r="V83" s="758"/>
      <c r="W83" s="758"/>
      <c r="X83" s="758"/>
      <c r="Y83" s="758"/>
      <c r="Z83" s="758"/>
      <c r="AA83" s="758"/>
      <c r="AB83" s="758"/>
      <c r="AC83" s="296"/>
      <c r="AD83" s="296"/>
      <c r="AE83" s="296"/>
      <c r="AF83" s="296"/>
      <c r="AG83" s="296"/>
    </row>
    <row r="84" spans="1:33" x14ac:dyDescent="0.2">
      <c r="A84" s="250" t="str">
        <f>IF(Skills!A16&lt;&gt;"",Skills!A16,"")</f>
        <v/>
      </c>
      <c r="B84" s="250"/>
      <c r="C84" s="250"/>
      <c r="D84" s="250"/>
      <c r="E84" s="71" t="str">
        <f>IF(Skills!B16&lt;&gt;"",Skills!B16,"")</f>
        <v/>
      </c>
      <c r="F84" s="71" t="str">
        <f>IF(Skills!C16&lt;&gt;"",Skills!C16,"")</f>
        <v/>
      </c>
      <c r="G84" s="764" t="str">
        <f>IF(Skills!D16&lt;&gt;"",Skills!D16,"")</f>
        <v/>
      </c>
      <c r="H84" s="764"/>
      <c r="I84" s="764"/>
      <c r="J84" s="764"/>
      <c r="K84" s="764"/>
      <c r="L84" s="764"/>
      <c r="M84" s="764"/>
      <c r="N84" s="764"/>
      <c r="O84" s="764"/>
      <c r="P84" s="758"/>
      <c r="Q84" s="758"/>
      <c r="R84" s="758"/>
      <c r="S84" s="758"/>
      <c r="T84" s="758"/>
      <c r="U84" s="758"/>
      <c r="V84" s="758"/>
      <c r="W84" s="758"/>
      <c r="X84" s="758"/>
      <c r="Y84" s="758"/>
      <c r="Z84" s="758"/>
      <c r="AA84" s="758"/>
      <c r="AB84" s="758"/>
      <c r="AC84" s="296"/>
      <c r="AD84" s="296"/>
      <c r="AE84" s="296"/>
      <c r="AF84" s="296"/>
      <c r="AG84" s="296"/>
    </row>
    <row r="85" spans="1:33" x14ac:dyDescent="0.2">
      <c r="A85" s="250" t="str">
        <f>IF(Skills!A17&lt;&gt;"",Skills!A17,"")</f>
        <v>Herbalist</v>
      </c>
      <c r="B85" s="250"/>
      <c r="C85" s="250"/>
      <c r="D85" s="250"/>
      <c r="E85" s="71" t="str">
        <f>IF(Skills!B17&lt;&gt;"",Skills!B17,"")</f>
        <v>Un</v>
      </c>
      <c r="F85" s="71" t="str">
        <f>IF(Skills!C17&lt;&gt;"",Skills!C17,"")</f>
        <v/>
      </c>
      <c r="G85" s="764" t="str">
        <f>IF(Skills!D17&lt;&gt;"",Skills!D17,"")</f>
        <v/>
      </c>
      <c r="H85" s="764"/>
      <c r="I85" s="764"/>
      <c r="J85" s="764"/>
      <c r="K85" s="764"/>
      <c r="L85" s="764"/>
      <c r="M85" s="764"/>
      <c r="N85" s="764"/>
      <c r="O85" s="764"/>
      <c r="P85" s="758"/>
      <c r="Q85" s="758"/>
      <c r="R85" s="758"/>
      <c r="S85" s="758"/>
      <c r="T85" s="758"/>
      <c r="U85" s="758"/>
      <c r="V85" s="758"/>
      <c r="W85" s="758"/>
      <c r="X85" s="758"/>
      <c r="Y85" s="758"/>
      <c r="Z85" s="758"/>
      <c r="AA85" s="758"/>
      <c r="AB85" s="758"/>
      <c r="AC85" s="296"/>
      <c r="AD85" s="296"/>
      <c r="AE85" s="296"/>
      <c r="AF85" s="296"/>
      <c r="AG85" s="296"/>
    </row>
    <row r="86" spans="1:33" x14ac:dyDescent="0.2">
      <c r="A86" s="250" t="str">
        <f>IF(Skills!A18&lt;&gt;"",Skills!A18,"")</f>
        <v/>
      </c>
      <c r="B86" s="250"/>
      <c r="C86" s="250"/>
      <c r="D86" s="250"/>
      <c r="E86" s="71" t="str">
        <f>IF(Skills!B18&lt;&gt;"",Skills!B18,"")</f>
        <v/>
      </c>
      <c r="F86" s="71" t="str">
        <f>IF(Skills!C18&lt;&gt;"",Skills!C18,"")</f>
        <v/>
      </c>
      <c r="G86" s="764" t="str">
        <f>IF(Skills!D18&lt;&gt;"",Skills!D18,"")</f>
        <v/>
      </c>
      <c r="H86" s="764"/>
      <c r="I86" s="764"/>
      <c r="J86" s="764"/>
      <c r="K86" s="764"/>
      <c r="L86" s="764"/>
      <c r="M86" s="764"/>
      <c r="N86" s="764"/>
      <c r="O86" s="764"/>
      <c r="P86" s="758"/>
      <c r="Q86" s="758"/>
      <c r="R86" s="758"/>
      <c r="S86" s="758"/>
      <c r="T86" s="758"/>
      <c r="U86" s="758"/>
      <c r="V86" s="758"/>
      <c r="W86" s="758"/>
      <c r="X86" s="758"/>
      <c r="Y86" s="758"/>
      <c r="Z86" s="758"/>
      <c r="AA86" s="758"/>
      <c r="AB86" s="758"/>
      <c r="AC86" s="296"/>
      <c r="AD86" s="296"/>
      <c r="AE86" s="296"/>
      <c r="AF86" s="296"/>
      <c r="AG86" s="296"/>
    </row>
    <row r="87" spans="1:33" x14ac:dyDescent="0.2">
      <c r="A87" s="250" t="str">
        <f>IF(Skills!A19&lt;&gt;"",Skills!A19,"")</f>
        <v>Mechanician</v>
      </c>
      <c r="B87" s="250"/>
      <c r="C87" s="250"/>
      <c r="D87" s="250"/>
      <c r="E87" s="71" t="str">
        <f>IF(Skills!B19&lt;&gt;"",Skills!B19,"")</f>
        <v>Un</v>
      </c>
      <c r="F87" s="71" t="str">
        <f>IF(Skills!C19&lt;&gt;"",Skills!C19,"")</f>
        <v/>
      </c>
      <c r="G87" s="764" t="str">
        <f>IF(Skills!D19&lt;&gt;"",Skills!D19,"")</f>
        <v/>
      </c>
      <c r="H87" s="764"/>
      <c r="I87" s="764"/>
      <c r="J87" s="764"/>
      <c r="K87" s="764"/>
      <c r="L87" s="764"/>
      <c r="M87" s="764"/>
      <c r="N87" s="764"/>
      <c r="O87" s="764"/>
      <c r="P87" s="758"/>
      <c r="Q87" s="758"/>
      <c r="R87" s="758"/>
      <c r="S87" s="758"/>
      <c r="T87" s="758"/>
      <c r="U87" s="758"/>
      <c r="V87" s="758"/>
      <c r="W87" s="758"/>
      <c r="X87" s="758"/>
      <c r="Y87" s="758"/>
      <c r="Z87" s="758"/>
      <c r="AA87" s="758"/>
      <c r="AB87" s="758"/>
      <c r="AC87" s="296"/>
      <c r="AD87" s="296"/>
      <c r="AE87" s="296"/>
      <c r="AF87" s="296"/>
      <c r="AG87" s="296"/>
    </row>
    <row r="88" spans="1:33" x14ac:dyDescent="0.2">
      <c r="A88" s="250" t="str">
        <f>IF(Skills!A20&lt;&gt;"",Skills!A20,"")</f>
        <v/>
      </c>
      <c r="B88" s="250"/>
      <c r="C88" s="250"/>
      <c r="D88" s="250"/>
      <c r="E88" s="71" t="str">
        <f>IF(Skills!B20&lt;&gt;"",Skills!B20,"")</f>
        <v/>
      </c>
      <c r="F88" s="71" t="str">
        <f>IF(Skills!C20&lt;&gt;"",Skills!C20,"")</f>
        <v/>
      </c>
      <c r="G88" s="764" t="str">
        <f>IF(Skills!D20&lt;&gt;"",Skills!D20,"")</f>
        <v/>
      </c>
      <c r="H88" s="764"/>
      <c r="I88" s="764"/>
      <c r="J88" s="764"/>
      <c r="K88" s="764"/>
      <c r="L88" s="764"/>
      <c r="M88" s="764"/>
      <c r="N88" s="764"/>
      <c r="O88" s="764"/>
      <c r="P88" s="758"/>
      <c r="Q88" s="758"/>
      <c r="R88" s="758"/>
      <c r="S88" s="758"/>
      <c r="T88" s="758"/>
      <c r="U88" s="758"/>
      <c r="V88" s="758"/>
      <c r="W88" s="758"/>
      <c r="X88" s="758"/>
      <c r="Y88" s="758"/>
      <c r="Z88" s="758"/>
      <c r="AA88" s="758"/>
      <c r="AB88" s="758"/>
      <c r="AC88" s="296"/>
      <c r="AD88" s="296"/>
      <c r="AE88" s="296"/>
      <c r="AF88" s="296"/>
      <c r="AG88" s="296"/>
    </row>
    <row r="89" spans="1:33" x14ac:dyDescent="0.2">
      <c r="A89" s="250" t="str">
        <f>IF(Skills!A21&lt;&gt;"",Skills!A21,"")</f>
        <v>Merchant</v>
      </c>
      <c r="B89" s="250"/>
      <c r="C89" s="250"/>
      <c r="D89" s="250"/>
      <c r="E89" s="71" t="str">
        <f>IF(Skills!B21&lt;&gt;"",Skills!B21,"")</f>
        <v>Un</v>
      </c>
      <c r="F89" s="71" t="str">
        <f>IF(Skills!C21&lt;&gt;"",Skills!C21,"")</f>
        <v/>
      </c>
      <c r="G89" s="764" t="str">
        <f>IF(Skills!D21&lt;&gt;"",Skills!D21,"")</f>
        <v/>
      </c>
      <c r="H89" s="764"/>
      <c r="I89" s="764"/>
      <c r="J89" s="764"/>
      <c r="K89" s="764"/>
      <c r="L89" s="764"/>
      <c r="M89" s="764"/>
      <c r="N89" s="764"/>
      <c r="O89" s="764"/>
      <c r="P89" s="758"/>
      <c r="Q89" s="758"/>
      <c r="R89" s="758"/>
      <c r="S89" s="758"/>
      <c r="T89" s="758"/>
      <c r="U89" s="758"/>
      <c r="V89" s="758"/>
      <c r="W89" s="758"/>
      <c r="X89" s="758"/>
      <c r="Y89" s="758"/>
      <c r="Z89" s="758"/>
      <c r="AA89" s="758"/>
      <c r="AB89" s="758"/>
      <c r="AC89" s="296"/>
      <c r="AD89" s="296"/>
      <c r="AE89" s="296"/>
      <c r="AF89" s="296"/>
      <c r="AG89" s="296"/>
    </row>
    <row r="90" spans="1:33" x14ac:dyDescent="0.2">
      <c r="A90" s="250" t="str">
        <f>IF(Skills!A22&lt;&gt;"",Skills!A22,"")</f>
        <v/>
      </c>
      <c r="B90" s="250"/>
      <c r="C90" s="250"/>
      <c r="D90" s="250"/>
      <c r="E90" s="71" t="str">
        <f>IF(Skills!B22&lt;&gt;"",Skills!B22,"")</f>
        <v/>
      </c>
      <c r="F90" s="71">
        <f>IF(Skills!C22&lt;&gt;"",Skills!C22,"")</f>
        <v>-7</v>
      </c>
      <c r="G90" s="764" t="str">
        <f>IF(Skills!D22&lt;&gt;"",Skills!D22,"")</f>
        <v>Assay: Common</v>
      </c>
      <c r="H90" s="764"/>
      <c r="I90" s="764"/>
      <c r="J90" s="764"/>
      <c r="K90" s="764"/>
      <c r="L90" s="764"/>
      <c r="M90" s="764"/>
      <c r="N90" s="764"/>
      <c r="O90" s="764"/>
      <c r="P90" s="758"/>
      <c r="Q90" s="758"/>
      <c r="R90" s="758"/>
      <c r="S90" s="758"/>
      <c r="T90" s="758"/>
      <c r="U90" s="758"/>
      <c r="V90" s="758"/>
      <c r="W90" s="758"/>
      <c r="X90" s="758"/>
      <c r="Y90" s="758"/>
      <c r="Z90" s="758"/>
      <c r="AA90" s="758"/>
      <c r="AB90" s="758"/>
      <c r="AC90" s="296"/>
      <c r="AD90" s="296"/>
      <c r="AE90" s="296"/>
      <c r="AF90" s="296"/>
      <c r="AG90" s="296"/>
    </row>
    <row r="91" spans="1:33" x14ac:dyDescent="0.2">
      <c r="A91" s="250" t="str">
        <f>IF(Skills!A27&lt;&gt;"",Skills!A27,"")</f>
        <v>Military Scientist</v>
      </c>
      <c r="B91" s="250"/>
      <c r="C91" s="250"/>
      <c r="D91" s="250"/>
      <c r="E91" s="71" t="str">
        <f>IF(Skills!B27&lt;&gt;"",Skills!B27,"")</f>
        <v>Un</v>
      </c>
      <c r="F91" s="71" t="str">
        <f>IF(Skills!C27&lt;&gt;"",Skills!C27,"")</f>
        <v/>
      </c>
      <c r="G91" s="766" t="str">
        <f>IF(Skills!D27&lt;&gt;"",Skills!D27,"")</f>
        <v>Skirmish, …</v>
      </c>
      <c r="H91" s="766"/>
      <c r="I91" s="766"/>
      <c r="J91" s="766"/>
      <c r="K91" s="766"/>
      <c r="L91" s="766"/>
      <c r="M91" s="766"/>
      <c r="N91" s="766"/>
      <c r="O91" s="766"/>
      <c r="P91" s="761"/>
      <c r="Q91" s="761"/>
      <c r="R91" s="761"/>
      <c r="S91" s="761"/>
      <c r="T91" s="761"/>
      <c r="U91" s="761"/>
      <c r="V91" s="761"/>
      <c r="W91" s="761"/>
      <c r="X91" s="761"/>
      <c r="Y91" s="761"/>
      <c r="Z91" s="761"/>
      <c r="AA91" s="761"/>
      <c r="AB91" s="761"/>
      <c r="AC91" s="296"/>
      <c r="AD91" s="296"/>
      <c r="AE91" s="296"/>
      <c r="AF91" s="296"/>
      <c r="AG91" s="296"/>
    </row>
    <row r="92" spans="1:33" x14ac:dyDescent="0.2">
      <c r="A92" s="250" t="str">
        <f>IF(Skills!A28&lt;&gt;"",Skills!A28,"")</f>
        <v/>
      </c>
      <c r="B92" s="250"/>
      <c r="C92" s="250"/>
      <c r="D92" s="250"/>
      <c r="E92" s="71" t="str">
        <f>IF(Skills!B28&lt;&gt;"",Skills!B28,"")</f>
        <v/>
      </c>
      <c r="F92" s="71" t="str">
        <f>IF(Skills!C28&lt;&gt;"",Skills!C28,"")</f>
        <v/>
      </c>
      <c r="G92" s="764" t="str">
        <f>IF(Skills!D28&lt;&gt;"",Skills!D28,"")</f>
        <v/>
      </c>
      <c r="H92" s="764"/>
      <c r="I92" s="764"/>
      <c r="J92" s="764"/>
      <c r="K92" s="764"/>
      <c r="L92" s="764"/>
      <c r="M92" s="764"/>
      <c r="N92" s="764"/>
      <c r="O92" s="764"/>
      <c r="P92" s="758"/>
      <c r="Q92" s="758"/>
      <c r="R92" s="758"/>
      <c r="S92" s="758"/>
      <c r="T92" s="758"/>
      <c r="U92" s="758"/>
      <c r="V92" s="758"/>
      <c r="W92" s="758"/>
      <c r="X92" s="758"/>
      <c r="Y92" s="758"/>
      <c r="Z92" s="758"/>
      <c r="AA92" s="758"/>
      <c r="AB92" s="758"/>
      <c r="AC92" s="296"/>
      <c r="AD92" s="296"/>
      <c r="AE92" s="296"/>
      <c r="AF92" s="296"/>
      <c r="AG92" s="296"/>
    </row>
    <row r="93" spans="1:33" x14ac:dyDescent="0.2">
      <c r="A93" s="250" t="str">
        <f>IF(Skills!A29&lt;&gt;"",Skills!A29,"")</f>
        <v/>
      </c>
      <c r="B93" s="250"/>
      <c r="C93" s="250"/>
      <c r="D93" s="250"/>
      <c r="E93" s="71" t="str">
        <f>IF(Skills!B29&lt;&gt;"",Skills!B29,"")</f>
        <v/>
      </c>
      <c r="F93" s="71" t="str">
        <f>IF(Skills!C29&lt;&gt;"",Skills!C29,"")</f>
        <v/>
      </c>
      <c r="G93" s="764" t="str">
        <f>IF(Skills!D29&lt;&gt;"",Skills!D29,"")</f>
        <v/>
      </c>
      <c r="H93" s="764"/>
      <c r="I93" s="764"/>
      <c r="J93" s="764"/>
      <c r="K93" s="764"/>
      <c r="L93" s="764"/>
      <c r="M93" s="764"/>
      <c r="N93" s="764"/>
      <c r="O93" s="764"/>
      <c r="P93" s="758"/>
      <c r="Q93" s="758"/>
      <c r="R93" s="758"/>
      <c r="S93" s="758"/>
      <c r="T93" s="758"/>
      <c r="U93" s="758"/>
      <c r="V93" s="758"/>
      <c r="W93" s="758"/>
      <c r="X93" s="758"/>
      <c r="Y93" s="758"/>
      <c r="Z93" s="758"/>
      <c r="AA93" s="758"/>
      <c r="AB93" s="758"/>
      <c r="AC93" s="296"/>
      <c r="AD93" s="296"/>
      <c r="AE93" s="296"/>
      <c r="AF93" s="296"/>
      <c r="AG93" s="296"/>
    </row>
    <row r="94" spans="1:33" x14ac:dyDescent="0.2">
      <c r="A94" s="250" t="str">
        <f>IF(Skills!A30&lt;&gt;"",Skills!A30,"")</f>
        <v/>
      </c>
      <c r="B94" s="250"/>
      <c r="C94" s="250"/>
      <c r="D94" s="250"/>
      <c r="E94" s="71" t="str">
        <f>IF(Skills!B30&lt;&gt;"",Skills!B30,"")</f>
        <v/>
      </c>
      <c r="F94" s="71" t="str">
        <f>IF(Skills!C30&lt;&gt;"",Skills!C30,"")</f>
        <v/>
      </c>
      <c r="G94" s="764" t="str">
        <f>IF(Skills!D30&lt;&gt;"",Skills!D30,"")</f>
        <v/>
      </c>
      <c r="H94" s="764"/>
      <c r="I94" s="764"/>
      <c r="J94" s="764"/>
      <c r="K94" s="764"/>
      <c r="L94" s="764"/>
      <c r="M94" s="764"/>
      <c r="N94" s="764"/>
      <c r="O94" s="764"/>
      <c r="P94" s="758"/>
      <c r="Q94" s="758"/>
      <c r="R94" s="758"/>
      <c r="S94" s="758"/>
      <c r="T94" s="758"/>
      <c r="U94" s="758"/>
      <c r="V94" s="758"/>
      <c r="W94" s="758"/>
      <c r="X94" s="758"/>
      <c r="Y94" s="758"/>
      <c r="Z94" s="758"/>
      <c r="AA94" s="758"/>
      <c r="AB94" s="758"/>
      <c r="AC94" s="296"/>
      <c r="AD94" s="296"/>
      <c r="AE94" s="296"/>
      <c r="AF94" s="296"/>
      <c r="AG94" s="296"/>
    </row>
    <row r="95" spans="1:33" x14ac:dyDescent="0.2">
      <c r="A95" s="250" t="str">
        <f>IF(Skills!A31&lt;&gt;"",Skills!A31,"")</f>
        <v/>
      </c>
      <c r="B95" s="250"/>
      <c r="C95" s="250"/>
      <c r="D95" s="250"/>
      <c r="E95" s="71" t="str">
        <f>IF(Skills!B31&lt;&gt;"",Skills!B31,"")</f>
        <v/>
      </c>
      <c r="F95" s="71" t="str">
        <f>IF(Skills!C31&lt;&gt;"",Skills!C31,"")</f>
        <v/>
      </c>
      <c r="G95" s="764" t="str">
        <f>IF(Skills!D31&lt;&gt;"",Skills!D31,"")</f>
        <v/>
      </c>
      <c r="H95" s="764"/>
      <c r="I95" s="764"/>
      <c r="J95" s="764"/>
      <c r="K95" s="764"/>
      <c r="L95" s="764"/>
      <c r="M95" s="764"/>
      <c r="N95" s="764"/>
      <c r="O95" s="764"/>
      <c r="P95" s="758"/>
      <c r="Q95" s="758"/>
      <c r="R95" s="758"/>
      <c r="S95" s="758"/>
      <c r="T95" s="758"/>
      <c r="U95" s="758"/>
      <c r="V95" s="758"/>
      <c r="W95" s="758"/>
      <c r="X95" s="758"/>
      <c r="Y95" s="758"/>
      <c r="Z95" s="758"/>
      <c r="AA95" s="758"/>
      <c r="AB95" s="758"/>
      <c r="AC95" s="296"/>
      <c r="AD95" s="296"/>
      <c r="AE95" s="296"/>
      <c r="AF95" s="296"/>
      <c r="AG95" s="296"/>
    </row>
    <row r="96" spans="1:33" x14ac:dyDescent="0.2">
      <c r="A96" s="250" t="str">
        <f>IF(Skills!A32&lt;&gt;"",Skills!A32,"")</f>
        <v/>
      </c>
      <c r="B96" s="250"/>
      <c r="C96" s="250"/>
      <c r="D96" s="250"/>
      <c r="E96" s="71" t="str">
        <f>IF(Skills!B32&lt;&gt;"",Skills!B32,"")</f>
        <v/>
      </c>
      <c r="F96" s="71" t="str">
        <f>IF(Skills!C32&lt;&gt;"",Skills!C32,"")</f>
        <v/>
      </c>
      <c r="G96" s="764" t="str">
        <f>IF(Skills!D32&lt;&gt;"",Skills!D32,"")</f>
        <v/>
      </c>
      <c r="H96" s="764"/>
      <c r="I96" s="764"/>
      <c r="J96" s="764"/>
      <c r="K96" s="764"/>
      <c r="L96" s="764"/>
      <c r="M96" s="764"/>
      <c r="N96" s="764"/>
      <c r="O96" s="764"/>
      <c r="P96" s="758"/>
      <c r="Q96" s="758"/>
      <c r="R96" s="758"/>
      <c r="S96" s="758"/>
      <c r="T96" s="758"/>
      <c r="U96" s="758"/>
      <c r="V96" s="758"/>
      <c r="W96" s="758"/>
      <c r="X96" s="758"/>
      <c r="Y96" s="758"/>
      <c r="Z96" s="758"/>
      <c r="AA96" s="758"/>
      <c r="AB96" s="758"/>
      <c r="AC96" s="296"/>
      <c r="AD96" s="296"/>
      <c r="AE96" s="296"/>
      <c r="AF96" s="296"/>
      <c r="AG96" s="296"/>
    </row>
    <row r="97" spans="1:33" x14ac:dyDescent="0.2">
      <c r="A97" s="250" t="str">
        <f>IF(Skills!A33&lt;&gt;"",Skills!A33,"")</f>
        <v>Navigator</v>
      </c>
      <c r="B97" s="250"/>
      <c r="C97" s="250"/>
      <c r="D97" s="250"/>
      <c r="E97" s="71" t="str">
        <f>IF(Skills!B33&lt;&gt;"",Skills!B33,"")</f>
        <v>Un</v>
      </c>
      <c r="F97" s="71" t="str">
        <f>IF(Skills!C33&lt;&gt;"",Skills!C33,"")</f>
        <v/>
      </c>
      <c r="G97" s="764" t="str">
        <f>IF(Skills!D33&lt;&gt;"",Skills!D33,"")</f>
        <v/>
      </c>
      <c r="H97" s="764"/>
      <c r="I97" s="764"/>
      <c r="J97" s="764"/>
      <c r="K97" s="764"/>
      <c r="L97" s="764"/>
      <c r="M97" s="764"/>
      <c r="N97" s="764"/>
      <c r="O97" s="764"/>
      <c r="P97" s="758"/>
      <c r="Q97" s="758"/>
      <c r="R97" s="758"/>
      <c r="S97" s="758"/>
      <c r="T97" s="758"/>
      <c r="U97" s="758"/>
      <c r="V97" s="758"/>
      <c r="W97" s="758"/>
      <c r="X97" s="758"/>
      <c r="Y97" s="758"/>
      <c r="Z97" s="758"/>
      <c r="AA97" s="758"/>
      <c r="AB97" s="758"/>
      <c r="AC97" s="296"/>
      <c r="AD97" s="296"/>
      <c r="AE97" s="296"/>
      <c r="AF97" s="296"/>
      <c r="AG97" s="296"/>
    </row>
    <row r="98" spans="1:33" x14ac:dyDescent="0.2">
      <c r="A98" s="250" t="str">
        <f>IF(Skills!A34&lt;&gt;"",Skills!A34,"")</f>
        <v/>
      </c>
      <c r="B98" s="250"/>
      <c r="C98" s="250"/>
      <c r="D98" s="250"/>
      <c r="E98" s="71" t="str">
        <f>IF(Skills!B34&lt;&gt;"",Skills!B34,"")</f>
        <v/>
      </c>
      <c r="F98" s="71" t="str">
        <f>IF(Skills!C34&lt;&gt;"",Skills!C34,"")</f>
        <v/>
      </c>
      <c r="G98" s="764" t="str">
        <f>IF(Skills!D34&lt;&gt;"",Skills!D34,"")</f>
        <v/>
      </c>
      <c r="H98" s="764"/>
      <c r="I98" s="764"/>
      <c r="J98" s="764"/>
      <c r="K98" s="764"/>
      <c r="L98" s="764"/>
      <c r="M98" s="764"/>
      <c r="N98" s="764"/>
      <c r="O98" s="764"/>
      <c r="P98" s="758"/>
      <c r="Q98" s="758"/>
      <c r="R98" s="758"/>
      <c r="S98" s="758"/>
      <c r="T98" s="758"/>
      <c r="U98" s="758"/>
      <c r="V98" s="758"/>
      <c r="W98" s="758"/>
      <c r="X98" s="758"/>
      <c r="Y98" s="758"/>
      <c r="Z98" s="758"/>
      <c r="AA98" s="758"/>
      <c r="AB98" s="758"/>
      <c r="AC98" s="296"/>
      <c r="AD98" s="296"/>
      <c r="AE98" s="296"/>
      <c r="AF98" s="296"/>
      <c r="AG98" s="296"/>
    </row>
    <row r="99" spans="1:33" x14ac:dyDescent="0.2">
      <c r="A99" s="250" t="str">
        <f>IF(Skills!A35&lt;&gt;"",Skills!A35,"")</f>
        <v>Philosopher</v>
      </c>
      <c r="B99" s="250"/>
      <c r="C99" s="250"/>
      <c r="D99" s="250"/>
      <c r="E99" s="71" t="str">
        <f>IF(Skills!B35&lt;&gt;"",Skills!B35,"")</f>
        <v>Un</v>
      </c>
      <c r="F99" s="71" t="str">
        <f>IF(Skills!C35&lt;&gt;"",Skills!C35,"")</f>
        <v/>
      </c>
      <c r="G99" s="764" t="str">
        <f>IF(Skills!D35&lt;&gt;"",Skills!D35,"")</f>
        <v>Realms/Fields/…</v>
      </c>
      <c r="H99" s="764"/>
      <c r="I99" s="764"/>
      <c r="J99" s="764"/>
      <c r="K99" s="764"/>
      <c r="L99" s="764"/>
      <c r="M99" s="764"/>
      <c r="N99" s="764"/>
      <c r="O99" s="764"/>
      <c r="P99" s="758"/>
      <c r="Q99" s="758"/>
      <c r="R99" s="758"/>
      <c r="S99" s="758"/>
      <c r="T99" s="758"/>
      <c r="U99" s="758"/>
      <c r="V99" s="758"/>
      <c r="W99" s="758"/>
      <c r="X99" s="758"/>
      <c r="Y99" s="758"/>
      <c r="Z99" s="758"/>
      <c r="AA99" s="758"/>
      <c r="AB99" s="758"/>
      <c r="AC99" s="296"/>
      <c r="AD99" s="296"/>
      <c r="AE99" s="296"/>
      <c r="AF99" s="296"/>
      <c r="AG99" s="296"/>
    </row>
    <row r="100" spans="1:33" x14ac:dyDescent="0.2">
      <c r="A100" s="250" t="str">
        <f>IF(Skills!A36&lt;&gt;"",Skills!A36,"")</f>
        <v/>
      </c>
      <c r="B100" s="250"/>
      <c r="C100" s="250"/>
      <c r="D100" s="250"/>
      <c r="E100" s="71" t="str">
        <f>IF(Skills!B36&lt;&gt;"",Skills!B36,"")</f>
        <v/>
      </c>
      <c r="F100" s="71" t="str">
        <f>IF(Skills!C36&lt;&gt;"",Skills!C36,"")</f>
        <v/>
      </c>
      <c r="G100" s="764" t="str">
        <f>IF(Skills!D36&lt;&gt;"",Skills!D36,"")</f>
        <v/>
      </c>
      <c r="H100" s="764"/>
      <c r="I100" s="764"/>
      <c r="J100" s="764"/>
      <c r="K100" s="764"/>
      <c r="L100" s="764"/>
      <c r="M100" s="764"/>
      <c r="N100" s="764"/>
      <c r="O100" s="764"/>
      <c r="P100" s="758"/>
      <c r="Q100" s="758"/>
      <c r="R100" s="758"/>
      <c r="S100" s="758"/>
      <c r="T100" s="758"/>
      <c r="U100" s="758"/>
      <c r="V100" s="758"/>
      <c r="W100" s="758"/>
      <c r="X100" s="758"/>
      <c r="Y100" s="758"/>
      <c r="Z100" s="758"/>
      <c r="AA100" s="758"/>
      <c r="AB100" s="758"/>
      <c r="AC100" s="296"/>
      <c r="AD100" s="296"/>
      <c r="AE100" s="296"/>
      <c r="AF100" s="296"/>
      <c r="AG100" s="296"/>
    </row>
    <row r="101" spans="1:33" x14ac:dyDescent="0.2">
      <c r="A101" s="250" t="str">
        <f>IF(Skills!A37&lt;&gt;"",Skills!A37,"")</f>
        <v>Ranger</v>
      </c>
      <c r="B101" s="250"/>
      <c r="C101" s="250"/>
      <c r="D101" s="250"/>
      <c r="E101" s="71" t="str">
        <f>IF(Skills!B37&lt;&gt;"",Skills!B37,"")</f>
        <v>Un</v>
      </c>
      <c r="F101" s="71" t="str">
        <f>IF(Skills!C37&lt;&gt;"",Skills!C37,"")</f>
        <v/>
      </c>
      <c r="G101" s="764" t="str">
        <f>IF(Skills!D37&lt;&gt;"",Skills!D37,"")</f>
        <v>Specialised in ?</v>
      </c>
      <c r="H101" s="764"/>
      <c r="I101" s="764"/>
      <c r="J101" s="764"/>
      <c r="K101" s="764"/>
      <c r="L101" s="764"/>
      <c r="M101" s="764"/>
      <c r="N101" s="764"/>
      <c r="O101" s="764"/>
      <c r="P101" s="758"/>
      <c r="Q101" s="758"/>
      <c r="R101" s="758"/>
      <c r="S101" s="758"/>
      <c r="T101" s="758"/>
      <c r="U101" s="758"/>
      <c r="V101" s="758"/>
      <c r="W101" s="758"/>
      <c r="X101" s="758"/>
      <c r="Y101" s="758"/>
      <c r="Z101" s="758"/>
      <c r="AA101" s="758"/>
      <c r="AB101" s="758"/>
      <c r="AC101" s="296"/>
      <c r="AD101" s="296"/>
      <c r="AE101" s="296"/>
      <c r="AF101" s="296"/>
      <c r="AG101" s="296"/>
    </row>
    <row r="102" spans="1:33" x14ac:dyDescent="0.2">
      <c r="A102" s="250" t="str">
        <f>IF(Skills!A38&lt;&gt;"",Skills!A38,"")</f>
        <v/>
      </c>
      <c r="B102" s="250"/>
      <c r="C102" s="250"/>
      <c r="D102" s="250"/>
      <c r="E102" s="71" t="str">
        <f>IF(Skills!B38&lt;&gt;"",Skills!B38,"")</f>
        <v/>
      </c>
      <c r="F102" s="71" t="str">
        <f>IF(Skills!C38&lt;&gt;"",Skills!C38,"")</f>
        <v/>
      </c>
      <c r="G102" s="764" t="str">
        <f>IF(Skills!D38&lt;&gt;"",Skills!D38,"")</f>
        <v/>
      </c>
      <c r="H102" s="764"/>
      <c r="I102" s="764"/>
      <c r="J102" s="764"/>
      <c r="K102" s="764"/>
      <c r="L102" s="764"/>
      <c r="M102" s="764"/>
      <c r="N102" s="764"/>
      <c r="O102" s="764"/>
      <c r="P102" s="758"/>
      <c r="Q102" s="758"/>
      <c r="R102" s="758"/>
      <c r="S102" s="758"/>
      <c r="T102" s="758"/>
      <c r="U102" s="758"/>
      <c r="V102" s="758"/>
      <c r="W102" s="758"/>
      <c r="X102" s="758"/>
      <c r="Y102" s="758"/>
      <c r="Z102" s="758"/>
      <c r="AA102" s="758"/>
      <c r="AB102" s="758"/>
      <c r="AC102" s="296"/>
      <c r="AD102" s="296"/>
      <c r="AE102" s="296"/>
      <c r="AF102" s="296"/>
      <c r="AG102" s="296"/>
    </row>
    <row r="103" spans="1:33" x14ac:dyDescent="0.2">
      <c r="A103" s="250" t="str">
        <f>IF(Skills!A39&lt;&gt;"",Skills!A39,"")</f>
        <v/>
      </c>
      <c r="B103" s="250"/>
      <c r="C103" s="250"/>
      <c r="D103" s="250"/>
      <c r="E103" s="71" t="str">
        <f>IF(Skills!B39&lt;&gt;"",Skills!B39,"")</f>
        <v/>
      </c>
      <c r="F103" s="71" t="str">
        <f>IF(Skills!C39&lt;&gt;"",Skills!C39,"")</f>
        <v/>
      </c>
      <c r="G103" s="764" t="str">
        <f>IF(Skills!D39&lt;&gt;"",Skills!D39,"")</f>
        <v/>
      </c>
      <c r="H103" s="764"/>
      <c r="I103" s="764"/>
      <c r="J103" s="764"/>
      <c r="K103" s="764"/>
      <c r="L103" s="764"/>
      <c r="M103" s="764"/>
      <c r="N103" s="764"/>
      <c r="O103" s="764"/>
      <c r="P103" s="758"/>
      <c r="Q103" s="758"/>
      <c r="R103" s="758"/>
      <c r="S103" s="758"/>
      <c r="T103" s="758"/>
      <c r="U103" s="758"/>
      <c r="V103" s="758"/>
      <c r="W103" s="758"/>
      <c r="X103" s="758"/>
      <c r="Y103" s="758"/>
      <c r="Z103" s="758"/>
      <c r="AA103" s="758"/>
      <c r="AB103" s="758"/>
      <c r="AC103" s="296"/>
      <c r="AD103" s="296"/>
      <c r="AE103" s="296"/>
      <c r="AF103" s="296"/>
      <c r="AG103" s="296"/>
    </row>
    <row r="104" spans="1:33" x14ac:dyDescent="0.2">
      <c r="A104" s="250" t="str">
        <f>IF(Skills!A40&lt;&gt;"",Skills!A40,"")</f>
        <v/>
      </c>
      <c r="B104" s="250"/>
      <c r="C104" s="250"/>
      <c r="D104" s="250"/>
      <c r="E104" s="71" t="str">
        <f>IF(Skills!B40&lt;&gt;"",Skills!B40,"")</f>
        <v/>
      </c>
      <c r="F104" s="71" t="str">
        <f>IF(Skills!C40&lt;&gt;"",Skills!C40,"")</f>
        <v/>
      </c>
      <c r="G104" s="764" t="str">
        <f>IF(Skills!D40&lt;&gt;"",Skills!D40,"")</f>
        <v/>
      </c>
      <c r="H104" s="764"/>
      <c r="I104" s="764"/>
      <c r="J104" s="764"/>
      <c r="K104" s="764"/>
      <c r="L104" s="764"/>
      <c r="M104" s="764"/>
      <c r="N104" s="764"/>
      <c r="O104" s="764"/>
      <c r="P104" s="758"/>
      <c r="Q104" s="758"/>
      <c r="R104" s="758"/>
      <c r="S104" s="758"/>
      <c r="T104" s="758"/>
      <c r="U104" s="758"/>
      <c r="V104" s="758"/>
      <c r="W104" s="758"/>
      <c r="X104" s="758"/>
      <c r="Y104" s="758"/>
      <c r="Z104" s="758"/>
      <c r="AA104" s="758"/>
      <c r="AB104" s="758"/>
      <c r="AC104" s="296"/>
      <c r="AD104" s="296"/>
      <c r="AE104" s="296"/>
      <c r="AF104" s="296"/>
      <c r="AG104" s="296"/>
    </row>
    <row r="105" spans="1:33" x14ac:dyDescent="0.2">
      <c r="A105" s="250" t="str">
        <f>IF(Skills!A41&lt;&gt;"",Skills!A41,"")</f>
        <v/>
      </c>
      <c r="B105" s="250"/>
      <c r="C105" s="250"/>
      <c r="D105" s="250"/>
      <c r="E105" s="71" t="str">
        <f>IF(Skills!B41&lt;&gt;"",Skills!B41,"")</f>
        <v/>
      </c>
      <c r="F105" s="71" t="str">
        <f>IF(Skills!C41&lt;&gt;"",Skills!C41,"")</f>
        <v/>
      </c>
      <c r="G105" s="764" t="str">
        <f>IF(Skills!D41&lt;&gt;"",Skills!D41,"")</f>
        <v/>
      </c>
      <c r="H105" s="764"/>
      <c r="I105" s="764"/>
      <c r="J105" s="764"/>
      <c r="K105" s="764"/>
      <c r="L105" s="764"/>
      <c r="M105" s="764"/>
      <c r="N105" s="764"/>
      <c r="O105" s="764"/>
      <c r="P105" s="758"/>
      <c r="Q105" s="758"/>
      <c r="R105" s="758"/>
      <c r="S105" s="758"/>
      <c r="T105" s="758"/>
      <c r="U105" s="758"/>
      <c r="V105" s="758"/>
      <c r="W105" s="758"/>
      <c r="X105" s="758"/>
      <c r="Y105" s="758"/>
      <c r="Z105" s="758"/>
      <c r="AA105" s="758"/>
      <c r="AB105" s="758"/>
      <c r="AC105" s="296"/>
      <c r="AD105" s="296"/>
      <c r="AE105" s="296"/>
      <c r="AF105" s="296"/>
      <c r="AG105" s="296"/>
    </row>
    <row r="106" spans="1:33" x14ac:dyDescent="0.2">
      <c r="A106" s="250" t="str">
        <f>IF(Skills!A42&lt;&gt;"",Skills!A42,"")</f>
        <v/>
      </c>
      <c r="B106" s="250"/>
      <c r="C106" s="250"/>
      <c r="D106" s="250"/>
      <c r="E106" s="71" t="str">
        <f>IF(Skills!B42&lt;&gt;"",Skills!B42,"")</f>
        <v/>
      </c>
      <c r="F106" s="71" t="str">
        <f>IF(Skills!C42&lt;&gt;"",Skills!C42,"")</f>
        <v/>
      </c>
      <c r="G106" s="764" t="str">
        <f>IF(Skills!D42&lt;&gt;"",Skills!D42,"")</f>
        <v/>
      </c>
      <c r="H106" s="764"/>
      <c r="I106" s="764"/>
      <c r="J106" s="764"/>
      <c r="K106" s="764"/>
      <c r="L106" s="764"/>
      <c r="M106" s="764"/>
      <c r="N106" s="764"/>
      <c r="O106" s="764"/>
      <c r="P106" s="758"/>
      <c r="Q106" s="758"/>
      <c r="R106" s="758"/>
      <c r="S106" s="758"/>
      <c r="T106" s="758"/>
      <c r="U106" s="758"/>
      <c r="V106" s="758"/>
      <c r="W106" s="758"/>
      <c r="X106" s="758"/>
      <c r="Y106" s="758"/>
      <c r="Z106" s="758"/>
      <c r="AA106" s="758"/>
      <c r="AB106" s="758"/>
      <c r="AC106" s="296"/>
      <c r="AD106" s="296"/>
      <c r="AE106" s="296"/>
      <c r="AF106" s="296"/>
      <c r="AG106" s="296"/>
    </row>
    <row r="107" spans="1:33" x14ac:dyDescent="0.2">
      <c r="A107" s="250" t="str">
        <f>IF(Skills!A43&lt;&gt;"",Skills!A43,"")</f>
        <v>Spy</v>
      </c>
      <c r="B107" s="250"/>
      <c r="C107" s="250"/>
      <c r="D107" s="250"/>
      <c r="E107" s="71" t="str">
        <f>IF(Skills!B43&lt;&gt;"",Skills!B43,"")</f>
        <v>Un</v>
      </c>
      <c r="F107" s="71" t="str">
        <f>IF(Skills!C43&lt;&gt;"",Skills!C43,"")</f>
        <v/>
      </c>
      <c r="G107" s="764" t="str">
        <f>IF(Skills!D43&lt;&gt;"",Skills!D43,"")</f>
        <v>Selected abilities?</v>
      </c>
      <c r="H107" s="764"/>
      <c r="I107" s="764"/>
      <c r="J107" s="764"/>
      <c r="K107" s="764"/>
      <c r="L107" s="764"/>
      <c r="M107" s="764"/>
      <c r="N107" s="764"/>
      <c r="O107" s="764"/>
      <c r="P107" s="758"/>
      <c r="Q107" s="758"/>
      <c r="R107" s="758"/>
      <c r="S107" s="758"/>
      <c r="T107" s="758"/>
      <c r="U107" s="758"/>
      <c r="V107" s="758"/>
      <c r="W107" s="758"/>
      <c r="X107" s="758"/>
      <c r="Y107" s="758"/>
      <c r="Z107" s="758"/>
      <c r="AA107" s="758"/>
      <c r="AB107" s="758"/>
      <c r="AC107" s="296"/>
      <c r="AD107" s="296"/>
      <c r="AE107" s="296"/>
      <c r="AF107" s="296"/>
      <c r="AG107" s="296"/>
    </row>
    <row r="108" spans="1:33" x14ac:dyDescent="0.2">
      <c r="A108" s="250" t="str">
        <f>IF(Skills!A44&lt;&gt;"",Skills!A44,"")</f>
        <v/>
      </c>
      <c r="B108" s="250"/>
      <c r="C108" s="250"/>
      <c r="D108" s="250"/>
      <c r="E108" s="71" t="str">
        <f>IF(Skills!B44&lt;&gt;"",Skills!B44,"")</f>
        <v/>
      </c>
      <c r="F108" s="206" t="str">
        <f>IF(Skills!C44&lt;&gt;"",Skills!C44,"")</f>
        <v/>
      </c>
      <c r="G108" s="764" t="str">
        <f>IF(Skills!D44&lt;&gt;"",Skills!D44,"")</f>
        <v/>
      </c>
      <c r="H108" s="764"/>
      <c r="I108" s="764"/>
      <c r="J108" s="764"/>
      <c r="K108" s="764"/>
      <c r="L108" s="764"/>
      <c r="M108" s="764"/>
      <c r="N108" s="764"/>
      <c r="O108" s="764"/>
      <c r="P108" s="758"/>
      <c r="Q108" s="758"/>
      <c r="R108" s="758"/>
      <c r="S108" s="758"/>
      <c r="T108" s="758"/>
      <c r="U108" s="758"/>
      <c r="V108" s="758"/>
      <c r="W108" s="758"/>
      <c r="X108" s="758"/>
      <c r="Y108" s="758"/>
      <c r="Z108" s="758"/>
      <c r="AA108" s="758"/>
      <c r="AB108" s="758"/>
      <c r="AC108" s="296"/>
      <c r="AD108" s="296"/>
      <c r="AE108" s="296"/>
      <c r="AF108" s="296"/>
      <c r="AG108" s="296"/>
    </row>
    <row r="109" spans="1:33" x14ac:dyDescent="0.2">
      <c r="A109" s="250" t="str">
        <f>IF(Skills!A45&lt;&gt;"",Skills!A45,"")</f>
        <v/>
      </c>
      <c r="B109" s="250"/>
      <c r="C109" s="250"/>
      <c r="D109" s="250"/>
      <c r="E109" s="71" t="str">
        <f>IF(Skills!B45&lt;&gt;"",Skills!B45,"")</f>
        <v/>
      </c>
      <c r="F109" s="206" t="str">
        <f>IF(Skills!C45&lt;&gt;"",Skills!C45,"")</f>
        <v/>
      </c>
      <c r="G109" s="764" t="str">
        <f>IF(Skills!D45&lt;&gt;"",Skills!D45,"")</f>
        <v/>
      </c>
      <c r="H109" s="764"/>
      <c r="I109" s="764"/>
      <c r="J109" s="764"/>
      <c r="K109" s="764"/>
      <c r="L109" s="764"/>
      <c r="M109" s="764"/>
      <c r="N109" s="764"/>
      <c r="O109" s="764"/>
      <c r="P109" s="758"/>
      <c r="Q109" s="758"/>
      <c r="R109" s="758"/>
      <c r="S109" s="758"/>
      <c r="T109" s="758"/>
      <c r="U109" s="758"/>
      <c r="V109" s="758"/>
      <c r="W109" s="758"/>
      <c r="X109" s="758"/>
      <c r="Y109" s="758"/>
      <c r="Z109" s="758"/>
      <c r="AA109" s="758"/>
      <c r="AB109" s="758"/>
      <c r="AC109" s="296"/>
      <c r="AD109" s="296"/>
      <c r="AE109" s="296"/>
      <c r="AF109" s="296"/>
      <c r="AG109" s="296"/>
    </row>
    <row r="110" spans="1:33" x14ac:dyDescent="0.2">
      <c r="A110" s="250" t="str">
        <f>IF(Skills!A46&lt;&gt;"",Skills!A46,"")</f>
        <v/>
      </c>
      <c r="B110" s="250"/>
      <c r="C110" s="250"/>
      <c r="D110" s="250"/>
      <c r="E110" s="71" t="str">
        <f>IF(Skills!B46&lt;&gt;"",Skills!B46,"")</f>
        <v/>
      </c>
      <c r="F110" s="71" t="str">
        <f>IF(Skills!C46&lt;&gt;"",Skills!C46,"")</f>
        <v/>
      </c>
      <c r="G110" s="764" t="str">
        <f>IF(Skills!D46&lt;&gt;"",Skills!D46,"")</f>
        <v/>
      </c>
      <c r="H110" s="764"/>
      <c r="I110" s="764"/>
      <c r="J110" s="764"/>
      <c r="K110" s="764"/>
      <c r="L110" s="764"/>
      <c r="M110" s="764"/>
      <c r="N110" s="764"/>
      <c r="O110" s="764"/>
      <c r="P110" s="758"/>
      <c r="Q110" s="758"/>
      <c r="R110" s="758"/>
      <c r="S110" s="758"/>
      <c r="T110" s="758"/>
      <c r="U110" s="758"/>
      <c r="V110" s="758"/>
      <c r="W110" s="758"/>
      <c r="X110" s="758"/>
      <c r="Y110" s="758"/>
      <c r="Z110" s="758"/>
      <c r="AA110" s="758"/>
      <c r="AB110" s="758"/>
      <c r="AC110" s="296"/>
      <c r="AD110" s="296"/>
      <c r="AE110" s="296"/>
      <c r="AF110" s="296"/>
      <c r="AG110" s="296"/>
    </row>
    <row r="111" spans="1:33" x14ac:dyDescent="0.2">
      <c r="A111" s="250" t="str">
        <f>IF(Skills!A47&lt;&gt;"",Skills!A47,"")</f>
        <v>Thief</v>
      </c>
      <c r="B111" s="250"/>
      <c r="C111" s="250"/>
      <c r="D111" s="250"/>
      <c r="E111" s="71" t="str">
        <f>IF(Skills!B47&lt;&gt;"",Skills!B47,"")</f>
        <v>Un</v>
      </c>
      <c r="F111" s="71" t="str">
        <f>IF(Skills!C47&lt;&gt;"",Skills!C47,"")</f>
        <v/>
      </c>
      <c r="G111" s="778" t="str">
        <f>IF(Skills!D47&lt;&gt;"",Skills!D47,"")</f>
        <v/>
      </c>
      <c r="H111" s="778"/>
      <c r="I111" s="778"/>
      <c r="J111" s="778"/>
      <c r="K111" s="778"/>
      <c r="L111" s="778"/>
      <c r="M111" s="778"/>
      <c r="N111" s="778"/>
      <c r="O111" s="778"/>
      <c r="P111" s="759"/>
      <c r="Q111" s="759"/>
      <c r="R111" s="759"/>
      <c r="S111" s="759"/>
      <c r="T111" s="759"/>
      <c r="U111" s="759"/>
      <c r="V111" s="759"/>
      <c r="W111" s="759"/>
      <c r="X111" s="759"/>
      <c r="Y111" s="759"/>
      <c r="Z111" s="759"/>
      <c r="AA111" s="759"/>
      <c r="AB111" s="759"/>
      <c r="AC111" s="297"/>
      <c r="AD111" s="297"/>
      <c r="AE111" s="297"/>
      <c r="AF111" s="297"/>
      <c r="AG111" s="297"/>
    </row>
    <row r="112" spans="1:33" x14ac:dyDescent="0.2">
      <c r="A112" s="250" t="str">
        <f>IF(Skills!A48&lt;&gt;"",Skills!A48,"")</f>
        <v/>
      </c>
      <c r="B112" s="250"/>
      <c r="C112" s="250"/>
      <c r="D112" s="250"/>
      <c r="E112" s="71" t="str">
        <f>IF(Skills!B48&lt;&gt;"",Skills!B48,"")</f>
        <v/>
      </c>
      <c r="F112" s="71" t="str">
        <f>IF(Skills!C48&lt;&gt;"",Skills!C48,"")</f>
        <v/>
      </c>
      <c r="G112" s="764" t="str">
        <f>IF(Skills!D48&lt;&gt;"",Skills!D48,"")</f>
        <v/>
      </c>
      <c r="H112" s="764"/>
      <c r="I112" s="764"/>
      <c r="J112" s="764"/>
      <c r="K112" s="764"/>
      <c r="L112" s="764"/>
      <c r="M112" s="764"/>
      <c r="N112" s="764"/>
      <c r="O112" s="764"/>
      <c r="P112" s="758"/>
      <c r="Q112" s="758"/>
      <c r="R112" s="758"/>
      <c r="S112" s="758"/>
      <c r="T112" s="758"/>
      <c r="U112" s="758"/>
      <c r="V112" s="758"/>
      <c r="W112" s="758"/>
      <c r="X112" s="758"/>
      <c r="Y112" s="758"/>
      <c r="Z112" s="758"/>
      <c r="AA112" s="758"/>
      <c r="AB112" s="758"/>
      <c r="AC112" s="296"/>
      <c r="AD112" s="296"/>
      <c r="AE112" s="296"/>
      <c r="AF112" s="296"/>
      <c r="AG112" s="296"/>
    </row>
    <row r="113" spans="1:33" x14ac:dyDescent="0.2">
      <c r="A113" s="250" t="str">
        <f>IF(Skills!A50&lt;&gt;"",Skills!A50,"")</f>
        <v/>
      </c>
      <c r="B113" s="250"/>
      <c r="C113" s="250"/>
      <c r="D113" s="250"/>
      <c r="E113" s="71" t="str">
        <f>IF(Skills!B50&lt;&gt;"",Skills!B50,"")</f>
        <v/>
      </c>
      <c r="F113" s="71" t="str">
        <f>IF(Skills!C50&lt;&gt;"",Skills!C50,"")</f>
        <v/>
      </c>
      <c r="G113" s="764" t="str">
        <f>IF(Skills!D50&lt;&gt;"",Skills!D50,"")</f>
        <v/>
      </c>
      <c r="H113" s="764"/>
      <c r="I113" s="764"/>
      <c r="J113" s="764"/>
      <c r="K113" s="764"/>
      <c r="L113" s="764"/>
      <c r="M113" s="764"/>
      <c r="N113" s="764"/>
      <c r="O113" s="764"/>
      <c r="P113" s="758"/>
      <c r="Q113" s="758"/>
      <c r="R113" s="758"/>
      <c r="S113" s="758"/>
      <c r="T113" s="758"/>
      <c r="U113" s="758"/>
      <c r="V113" s="758"/>
      <c r="W113" s="758"/>
      <c r="X113" s="758"/>
      <c r="Y113" s="758"/>
      <c r="Z113" s="758"/>
      <c r="AA113" s="758"/>
      <c r="AB113" s="758"/>
      <c r="AC113" s="296"/>
      <c r="AD113" s="296"/>
      <c r="AE113" s="296"/>
      <c r="AF113" s="296"/>
      <c r="AG113" s="296"/>
    </row>
    <row r="114" spans="1:33" x14ac:dyDescent="0.2">
      <c r="A114" s="250" t="str">
        <f>IF(Skills!A51&lt;&gt;"",Skills!A51,"")</f>
        <v/>
      </c>
      <c r="B114" s="250"/>
      <c r="C114" s="250"/>
      <c r="D114" s="250"/>
      <c r="E114" s="71" t="str">
        <f>IF(Skills!B51&lt;&gt;"",Skills!B51,"")</f>
        <v/>
      </c>
      <c r="F114" s="71" t="str">
        <f>IF(Skills!C51&lt;&gt;"",Skills!C51,"")</f>
        <v/>
      </c>
      <c r="G114" s="764" t="str">
        <f>IF(Skills!D51&lt;&gt;"",Skills!D51,"")</f>
        <v/>
      </c>
      <c r="H114" s="764"/>
      <c r="I114" s="764"/>
      <c r="J114" s="764"/>
      <c r="K114" s="764"/>
      <c r="L114" s="764"/>
      <c r="M114" s="764"/>
      <c r="N114" s="764"/>
      <c r="O114" s="764"/>
      <c r="P114" s="758"/>
      <c r="Q114" s="758"/>
      <c r="R114" s="758"/>
      <c r="S114" s="758"/>
      <c r="T114" s="758"/>
      <c r="U114" s="758"/>
      <c r="V114" s="758"/>
      <c r="W114" s="758"/>
      <c r="X114" s="758"/>
      <c r="Y114" s="758"/>
      <c r="Z114" s="758"/>
      <c r="AA114" s="758"/>
      <c r="AB114" s="758"/>
      <c r="AC114" s="296"/>
      <c r="AD114" s="296"/>
      <c r="AE114" s="296"/>
      <c r="AF114" s="296"/>
      <c r="AG114" s="296"/>
    </row>
    <row r="115" spans="1:33" x14ac:dyDescent="0.2">
      <c r="A115" s="250" t="str">
        <f>IF(Skills!A52&lt;&gt;"",Skills!A52,"")</f>
        <v/>
      </c>
      <c r="B115" s="250"/>
      <c r="C115" s="250"/>
      <c r="D115" s="250"/>
      <c r="E115" s="71" t="str">
        <f>IF(Skills!B52&lt;&gt;"",Skills!B52,"")</f>
        <v/>
      </c>
      <c r="F115" s="71" t="str">
        <f>IF(Skills!C52&lt;&gt;"",Skills!C52,"")</f>
        <v/>
      </c>
      <c r="G115" s="764" t="str">
        <f>IF(Skills!D52&lt;&gt;"",Skills!D52,"")</f>
        <v/>
      </c>
      <c r="H115" s="764"/>
      <c r="I115" s="764"/>
      <c r="J115" s="764"/>
      <c r="K115" s="764"/>
      <c r="L115" s="764"/>
      <c r="M115" s="764"/>
      <c r="N115" s="764"/>
      <c r="O115" s="764"/>
      <c r="P115" s="758"/>
      <c r="Q115" s="758"/>
      <c r="R115" s="758"/>
      <c r="S115" s="758"/>
      <c r="T115" s="758"/>
      <c r="U115" s="758"/>
      <c r="V115" s="758"/>
      <c r="W115" s="758"/>
      <c r="X115" s="758"/>
      <c r="Y115" s="758"/>
      <c r="Z115" s="758"/>
      <c r="AA115" s="758"/>
      <c r="AB115" s="758"/>
      <c r="AC115" s="296"/>
      <c r="AD115" s="296"/>
      <c r="AE115" s="296"/>
      <c r="AF115" s="296"/>
      <c r="AG115" s="296"/>
    </row>
    <row r="116" spans="1:33" x14ac:dyDescent="0.2">
      <c r="A116" s="250" t="str">
        <f>IF(Skills!A53&lt;&gt;"",Skills!A53,"")</f>
        <v/>
      </c>
      <c r="B116" s="250"/>
      <c r="C116" s="250"/>
      <c r="D116" s="250"/>
      <c r="E116" s="71" t="str">
        <f>IF(Skills!B53&lt;&gt;"",Skills!B53,"")</f>
        <v/>
      </c>
      <c r="F116" s="71" t="str">
        <f>IF(Skills!C53&lt;&gt;"",Skills!C53,"")</f>
        <v/>
      </c>
      <c r="G116" s="764" t="str">
        <f>IF(Skills!D53&lt;&gt;"",Skills!D53,"")</f>
        <v/>
      </c>
      <c r="H116" s="764"/>
      <c r="I116" s="764"/>
      <c r="J116" s="764"/>
      <c r="K116" s="764"/>
      <c r="L116" s="764"/>
      <c r="M116" s="764"/>
      <c r="N116" s="764"/>
      <c r="O116" s="764"/>
      <c r="P116" s="758"/>
      <c r="Q116" s="758"/>
      <c r="R116" s="758"/>
      <c r="S116" s="758"/>
      <c r="T116" s="758"/>
      <c r="U116" s="758"/>
      <c r="V116" s="758"/>
      <c r="W116" s="758"/>
      <c r="X116" s="758"/>
      <c r="Y116" s="758"/>
      <c r="Z116" s="758"/>
      <c r="AA116" s="758"/>
      <c r="AB116" s="758"/>
      <c r="AC116" s="296"/>
      <c r="AD116" s="296"/>
      <c r="AE116" s="296"/>
      <c r="AF116" s="296"/>
      <c r="AG116" s="296"/>
    </row>
    <row r="117" spans="1:33" x14ac:dyDescent="0.2">
      <c r="A117" s="250" t="str">
        <f>IF(Skills!A54&lt;&gt;"",Skills!A54,"")</f>
        <v/>
      </c>
      <c r="B117" s="250"/>
      <c r="C117" s="250"/>
      <c r="D117" s="250"/>
      <c r="E117" s="71" t="str">
        <f>IF(Skills!B54&lt;&gt;"",Skills!B54,"")</f>
        <v/>
      </c>
      <c r="F117" s="71" t="str">
        <f>IF(Skills!C54&lt;&gt;"",Skills!C54,"")</f>
        <v/>
      </c>
      <c r="G117" s="764" t="str">
        <f>IF(Skills!D54&lt;&gt;"",Skills!D54,"")</f>
        <v/>
      </c>
      <c r="H117" s="764"/>
      <c r="I117" s="764"/>
      <c r="J117" s="764"/>
      <c r="K117" s="764"/>
      <c r="L117" s="764"/>
      <c r="M117" s="764"/>
      <c r="N117" s="764"/>
      <c r="O117" s="764"/>
      <c r="P117" s="758"/>
      <c r="Q117" s="758"/>
      <c r="R117" s="758"/>
      <c r="S117" s="758"/>
      <c r="T117" s="758"/>
      <c r="U117" s="758"/>
      <c r="V117" s="758"/>
      <c r="W117" s="758"/>
      <c r="X117" s="758"/>
      <c r="Y117" s="758"/>
      <c r="Z117" s="758"/>
      <c r="AA117" s="758"/>
      <c r="AB117" s="758"/>
      <c r="AC117" s="296"/>
      <c r="AD117" s="296"/>
      <c r="AE117" s="296"/>
      <c r="AF117" s="296"/>
      <c r="AG117" s="296"/>
    </row>
    <row r="118" spans="1:33" x14ac:dyDescent="0.2">
      <c r="A118" s="250" t="str">
        <f>IF(Skills!A55&lt;&gt;"",Skills!A55,"")</f>
        <v/>
      </c>
      <c r="B118" s="250"/>
      <c r="C118" s="250"/>
      <c r="D118" s="250"/>
      <c r="E118" s="71" t="str">
        <f>IF(Skills!B55&lt;&gt;"",Skills!B55,"")</f>
        <v/>
      </c>
      <c r="F118" s="71" t="str">
        <f>IF(Skills!C55&lt;&gt;"",Skills!C55,"")</f>
        <v/>
      </c>
      <c r="G118" s="764" t="str">
        <f>IF(Skills!D55&lt;&gt;"",Skills!D55,"")</f>
        <v/>
      </c>
      <c r="H118" s="764"/>
      <c r="I118" s="764"/>
      <c r="J118" s="764"/>
      <c r="K118" s="764"/>
      <c r="L118" s="764"/>
      <c r="M118" s="764"/>
      <c r="N118" s="764"/>
      <c r="O118" s="764"/>
      <c r="P118" s="758"/>
      <c r="Q118" s="758"/>
      <c r="R118" s="758"/>
      <c r="S118" s="758"/>
      <c r="T118" s="758"/>
      <c r="U118" s="758"/>
      <c r="V118" s="758"/>
      <c r="W118" s="758"/>
      <c r="X118" s="758"/>
      <c r="Y118" s="758"/>
      <c r="Z118" s="758"/>
      <c r="AA118" s="758"/>
      <c r="AB118" s="758"/>
      <c r="AC118" s="296"/>
      <c r="AD118" s="296"/>
      <c r="AE118" s="296"/>
      <c r="AF118" s="296"/>
      <c r="AG118" s="296"/>
    </row>
    <row r="119" spans="1:33" x14ac:dyDescent="0.2">
      <c r="A119" s="250" t="str">
        <f>IF(Skills!A56&lt;&gt;"",Skills!A56,"")</f>
        <v>Troubadour</v>
      </c>
      <c r="B119" s="250"/>
      <c r="C119" s="250"/>
      <c r="D119" s="250"/>
      <c r="E119" s="71" t="str">
        <f>IF(Skills!B56&lt;&gt;"",Skills!B56,"")</f>
        <v>Un</v>
      </c>
      <c r="F119" s="71" t="str">
        <f>IF(Skills!C56&lt;&gt;"",Skills!C56,"")</f>
        <v/>
      </c>
      <c r="G119" s="764" t="str">
        <f>IF(Skills!D56&lt;&gt;"",Skills!D56,"")</f>
        <v>Selected abilities?</v>
      </c>
      <c r="H119" s="764"/>
      <c r="I119" s="764"/>
      <c r="J119" s="764"/>
      <c r="K119" s="764"/>
      <c r="L119" s="764"/>
      <c r="M119" s="764"/>
      <c r="N119" s="764"/>
      <c r="O119" s="764"/>
      <c r="P119" s="758"/>
      <c r="Q119" s="758"/>
      <c r="R119" s="758"/>
      <c r="S119" s="758"/>
      <c r="T119" s="758"/>
      <c r="U119" s="758"/>
      <c r="V119" s="758"/>
      <c r="W119" s="758"/>
      <c r="X119" s="758"/>
      <c r="Y119" s="758"/>
      <c r="Z119" s="758"/>
      <c r="AA119" s="758"/>
      <c r="AB119" s="758"/>
      <c r="AC119" s="296"/>
      <c r="AD119" s="296"/>
      <c r="AE119" s="296"/>
      <c r="AF119" s="296"/>
      <c r="AG119" s="296"/>
    </row>
    <row r="120" spans="1:33" x14ac:dyDescent="0.2">
      <c r="A120" s="251" t="str">
        <f>IF(Skills!A57&lt;&gt;"",Skills!A57,"")</f>
        <v/>
      </c>
      <c r="B120" s="251"/>
      <c r="C120" s="251"/>
      <c r="D120" s="251"/>
      <c r="E120" s="71" t="str">
        <f>IF(Skills!B57&lt;&gt;"",Skills!B57,"")</f>
        <v/>
      </c>
      <c r="F120" s="71" t="str">
        <f>IF(Skills!C57&lt;&gt;"",Skills!C57,"")</f>
        <v/>
      </c>
      <c r="G120" s="764" t="str">
        <f>IF(Skills!D57&lt;&gt;"",Skills!D57,"")</f>
        <v/>
      </c>
      <c r="H120" s="764"/>
      <c r="I120" s="764"/>
      <c r="J120" s="764"/>
      <c r="K120" s="764"/>
      <c r="L120" s="764"/>
      <c r="M120" s="764"/>
      <c r="N120" s="764"/>
      <c r="O120" s="764"/>
      <c r="P120" s="758"/>
      <c r="Q120" s="758"/>
      <c r="R120" s="758"/>
      <c r="S120" s="758"/>
      <c r="T120" s="758"/>
      <c r="U120" s="758"/>
      <c r="V120" s="758"/>
      <c r="W120" s="758"/>
      <c r="X120" s="758"/>
      <c r="Y120" s="758"/>
      <c r="Z120" s="758"/>
      <c r="AA120" s="758"/>
      <c r="AB120" s="758"/>
      <c r="AC120" s="296"/>
      <c r="AD120" s="296"/>
      <c r="AE120" s="296"/>
      <c r="AF120" s="296"/>
      <c r="AG120" s="296"/>
    </row>
    <row r="121" spans="1:33" x14ac:dyDescent="0.2">
      <c r="A121" s="250" t="str">
        <f>IF(Skills!A58&lt;&gt;"",Skills!A58,"")</f>
        <v>Warrior</v>
      </c>
      <c r="B121" s="250"/>
      <c r="C121" s="250"/>
      <c r="D121" s="250"/>
      <c r="E121" s="71" t="str">
        <f>IF(Skills!B58&lt;&gt;"",Skills!B58,"")</f>
        <v>Un</v>
      </c>
      <c r="F121" s="71" t="str">
        <f>IF(Skills!C58&lt;&gt;"",Skills!C58,"")</f>
        <v/>
      </c>
      <c r="G121" s="764" t="str">
        <f>IF(Skills!D58&lt;&gt;"",Skills!D58,"")</f>
        <v/>
      </c>
      <c r="H121" s="764"/>
      <c r="I121" s="764"/>
      <c r="J121" s="764"/>
      <c r="K121" s="764"/>
      <c r="L121" s="764"/>
      <c r="M121" s="764"/>
      <c r="N121" s="764"/>
      <c r="O121" s="764"/>
      <c r="P121" s="758"/>
      <c r="Q121" s="758"/>
      <c r="R121" s="758"/>
      <c r="S121" s="758"/>
      <c r="T121" s="758"/>
      <c r="U121" s="758"/>
      <c r="V121" s="758"/>
      <c r="W121" s="758"/>
      <c r="X121" s="758"/>
      <c r="Y121" s="758"/>
      <c r="Z121" s="758"/>
      <c r="AA121" s="758"/>
      <c r="AB121" s="758"/>
      <c r="AC121" s="296"/>
      <c r="AD121" s="296"/>
      <c r="AE121" s="296"/>
      <c r="AF121" s="296"/>
      <c r="AG121" s="296"/>
    </row>
    <row r="122" spans="1:33" x14ac:dyDescent="0.2">
      <c r="A122" s="250" t="str">
        <f>IF(Skills!A60&lt;&gt;"",Skills!A60,"")</f>
        <v/>
      </c>
      <c r="B122" s="250"/>
      <c r="C122" s="250"/>
      <c r="D122" s="250"/>
      <c r="E122" s="71" t="str">
        <f>IF(Skills!B60&lt;&gt;"",Skills!B60,"")</f>
        <v/>
      </c>
      <c r="F122" s="71" t="str">
        <f>IF(Skills!C60&lt;&gt;"",Skills!C60,"")</f>
        <v/>
      </c>
      <c r="G122" s="764" t="str">
        <f>IF(Skills!D60&lt;&gt;"",Skills!D60,"")</f>
        <v/>
      </c>
      <c r="H122" s="764"/>
      <c r="I122" s="764"/>
      <c r="J122" s="764"/>
      <c r="K122" s="764"/>
      <c r="L122" s="764"/>
      <c r="M122" s="764"/>
      <c r="N122" s="764"/>
      <c r="O122" s="764"/>
      <c r="P122" s="758"/>
      <c r="Q122" s="758"/>
      <c r="R122" s="758"/>
      <c r="S122" s="758"/>
      <c r="T122" s="758"/>
      <c r="U122" s="758"/>
      <c r="V122" s="758"/>
      <c r="W122" s="758"/>
      <c r="X122" s="758"/>
      <c r="Y122" s="758"/>
      <c r="Z122" s="758"/>
      <c r="AA122" s="758"/>
      <c r="AB122" s="758"/>
      <c r="AC122" s="296"/>
      <c r="AD122" s="296"/>
      <c r="AE122" s="296"/>
      <c r="AF122" s="296"/>
      <c r="AG122" s="296"/>
    </row>
    <row r="123" spans="1:33" x14ac:dyDescent="0.2">
      <c r="A123" s="250" t="str">
        <f>IF(Skills!A61&lt;&gt;"",Skills!A61,"")</f>
        <v>Weaponsmith</v>
      </c>
      <c r="B123" s="250"/>
      <c r="C123" s="250"/>
      <c r="D123" s="250"/>
      <c r="E123" s="71" t="str">
        <f>IF(Skills!B61&lt;&gt;"",Skills!B61,"")</f>
        <v>Un</v>
      </c>
      <c r="F123" s="71" t="str">
        <f>IF(Skills!C61&lt;&gt;"",Skills!C61,"")</f>
        <v/>
      </c>
      <c r="G123" s="764" t="str">
        <f>IF(Skills!D61&lt;&gt;"",Skills!D61,"")</f>
        <v>Selected categories?</v>
      </c>
      <c r="H123" s="764"/>
      <c r="I123" s="764"/>
      <c r="J123" s="764"/>
      <c r="K123" s="764"/>
      <c r="L123" s="764"/>
      <c r="M123" s="764"/>
      <c r="N123" s="764"/>
      <c r="O123" s="764"/>
      <c r="P123" s="758"/>
      <c r="Q123" s="758"/>
      <c r="R123" s="758"/>
      <c r="S123" s="758"/>
      <c r="T123" s="758"/>
      <c r="U123" s="758"/>
      <c r="V123" s="758"/>
      <c r="W123" s="758"/>
      <c r="X123" s="758"/>
      <c r="Y123" s="758"/>
      <c r="Z123" s="758"/>
      <c r="AA123" s="758"/>
      <c r="AB123" s="758"/>
      <c r="AC123" s="296"/>
      <c r="AD123" s="296"/>
      <c r="AE123" s="296"/>
      <c r="AF123" s="296"/>
      <c r="AG123" s="296"/>
    </row>
    <row r="124" spans="1:33" x14ac:dyDescent="0.2">
      <c r="A124" s="250" t="str">
        <f>IF(Skills!A62&lt;&gt;"",Skills!A62,"")</f>
        <v/>
      </c>
      <c r="B124" s="250"/>
      <c r="C124" s="250"/>
      <c r="D124" s="250"/>
      <c r="E124" s="71" t="str">
        <f>IF(Skills!B62&lt;&gt;"",Skills!B62,"")</f>
        <v/>
      </c>
      <c r="F124" s="71" t="str">
        <f>IF(Skills!C62&lt;&gt;"",Skills!C62,"")</f>
        <v/>
      </c>
      <c r="G124" s="764" t="str">
        <f>IF(Skills!D62&lt;&gt;"",Skills!D62,"")</f>
        <v/>
      </c>
      <c r="H124" s="764"/>
      <c r="I124" s="764"/>
      <c r="J124" s="764"/>
      <c r="K124" s="764"/>
      <c r="L124" s="764"/>
      <c r="M124" s="764"/>
      <c r="N124" s="764"/>
      <c r="O124" s="764"/>
      <c r="P124" s="758"/>
      <c r="Q124" s="758"/>
      <c r="R124" s="758"/>
      <c r="S124" s="758"/>
      <c r="T124" s="758"/>
      <c r="U124" s="758"/>
      <c r="V124" s="758"/>
      <c r="W124" s="758"/>
      <c r="X124" s="758"/>
      <c r="Y124" s="758"/>
      <c r="Z124" s="758"/>
      <c r="AA124" s="758"/>
      <c r="AB124" s="758"/>
      <c r="AC124" s="296"/>
      <c r="AD124" s="296"/>
      <c r="AE124" s="296"/>
      <c r="AF124" s="296"/>
      <c r="AG124" s="296"/>
    </row>
    <row r="125" spans="1:33" x14ac:dyDescent="0.2">
      <c r="A125" s="250" t="str">
        <f>IF(Skills!A63&lt;&gt;"",Skills!A63,"")</f>
        <v>Cook</v>
      </c>
      <c r="B125" s="250"/>
      <c r="C125" s="250"/>
      <c r="D125" s="250"/>
      <c r="E125" s="71" t="str">
        <f>IF(Skills!B63&lt;&gt;"",Skills!B63,"")</f>
        <v>Un</v>
      </c>
      <c r="F125" s="71" t="str">
        <f>IF(Skills!C63&lt;&gt;"",Skills!C63,"")</f>
        <v/>
      </c>
      <c r="G125" s="764" t="str">
        <f>IF(Skills!D63&lt;&gt;"",Skills!D63,"")</f>
        <v/>
      </c>
      <c r="H125" s="764"/>
      <c r="I125" s="764"/>
      <c r="J125" s="764"/>
      <c r="K125" s="764"/>
      <c r="L125" s="764"/>
      <c r="M125" s="764"/>
      <c r="N125" s="764"/>
      <c r="O125" s="764"/>
      <c r="P125" s="758"/>
      <c r="Q125" s="758"/>
      <c r="R125" s="758"/>
      <c r="S125" s="758"/>
      <c r="T125" s="758"/>
      <c r="U125" s="758"/>
      <c r="V125" s="758"/>
      <c r="W125" s="758"/>
      <c r="X125" s="758"/>
      <c r="Y125" s="758"/>
      <c r="Z125" s="758"/>
      <c r="AA125" s="758"/>
      <c r="AB125" s="758"/>
      <c r="AC125" s="296"/>
      <c r="AD125" s="296"/>
      <c r="AE125" s="296"/>
      <c r="AF125" s="296"/>
      <c r="AG125" s="296"/>
    </row>
    <row r="126" spans="1:33" x14ac:dyDescent="0.2">
      <c r="A126" s="250" t="str">
        <f>IF(Skills!A64&lt;&gt;"",Skills!A64,"")</f>
        <v>Blacksmith</v>
      </c>
      <c r="B126" s="250"/>
      <c r="C126" s="250"/>
      <c r="D126" s="250"/>
      <c r="E126" s="71" t="str">
        <f>IF(Skills!B64&lt;&gt;"",Skills!B64,"")</f>
        <v>Un</v>
      </c>
      <c r="F126" s="71" t="str">
        <f>IF(Skills!C64&lt;&gt;"",Skills!C64,"")</f>
        <v/>
      </c>
      <c r="G126" s="764" t="str">
        <f>IF(Skills!D64&lt;&gt;"",Skills!D64,"")</f>
        <v/>
      </c>
      <c r="H126" s="764"/>
      <c r="I126" s="764"/>
      <c r="J126" s="764"/>
      <c r="K126" s="764"/>
      <c r="L126" s="764"/>
      <c r="M126" s="764"/>
      <c r="N126" s="764"/>
      <c r="O126" s="764"/>
      <c r="P126" s="758"/>
      <c r="Q126" s="758"/>
      <c r="R126" s="758"/>
      <c r="S126" s="758"/>
      <c r="T126" s="758"/>
      <c r="U126" s="758"/>
      <c r="V126" s="758"/>
      <c r="W126" s="758"/>
      <c r="X126" s="758"/>
      <c r="Y126" s="758"/>
      <c r="Z126" s="758"/>
      <c r="AA126" s="758"/>
      <c r="AB126" s="758"/>
      <c r="AC126" s="296"/>
      <c r="AD126" s="296"/>
      <c r="AE126" s="296"/>
      <c r="AF126" s="296"/>
      <c r="AG126" s="296"/>
    </row>
    <row r="127" spans="1:33" x14ac:dyDescent="0.2">
      <c r="A127" s="250" t="str">
        <f>IF(Skills!A65&lt;&gt;"",Skills!A65,"")</f>
        <v>Seamanship</v>
      </c>
      <c r="B127" s="250"/>
      <c r="C127" s="250"/>
      <c r="D127" s="250"/>
      <c r="E127" s="71" t="str">
        <f>IF(Skills!B65&lt;&gt;"",Skills!B65,"")</f>
        <v>Un</v>
      </c>
      <c r="F127" s="71" t="str">
        <f>IF(Skills!C65&lt;&gt;"",Skills!C65,"")</f>
        <v/>
      </c>
      <c r="G127" s="764" t="str">
        <f>IF(Skills!D65&lt;&gt;"",Skills!D65,"")</f>
        <v/>
      </c>
      <c r="H127" s="764"/>
      <c r="I127" s="764"/>
      <c r="J127" s="764"/>
      <c r="K127" s="764"/>
      <c r="L127" s="764"/>
      <c r="M127" s="764"/>
      <c r="N127" s="764"/>
      <c r="O127" s="764"/>
      <c r="P127" s="758"/>
      <c r="Q127" s="758"/>
      <c r="R127" s="758"/>
      <c r="S127" s="758"/>
      <c r="T127" s="758"/>
      <c r="U127" s="758"/>
      <c r="V127" s="758"/>
      <c r="W127" s="758"/>
      <c r="X127" s="758"/>
      <c r="Y127" s="758"/>
      <c r="Z127" s="758"/>
      <c r="AA127" s="758"/>
      <c r="AB127" s="758"/>
      <c r="AC127" s="296"/>
      <c r="AD127" s="296"/>
      <c r="AE127" s="296"/>
      <c r="AF127" s="296"/>
      <c r="AG127" s="296"/>
    </row>
    <row r="128" spans="1:33" x14ac:dyDescent="0.2">
      <c r="A128" s="250" t="str">
        <f>IF(Skills!A66&lt;&gt;"",Skills!A66,"")</f>
        <v>Artisan ?</v>
      </c>
      <c r="B128" s="250"/>
      <c r="C128" s="250"/>
      <c r="D128" s="250"/>
      <c r="E128" s="71" t="str">
        <f>IF(Skills!B66&lt;&gt;"",Skills!B66,"")</f>
        <v>Un</v>
      </c>
      <c r="F128" s="71" t="str">
        <f>IF(Skills!C66&lt;&gt;"",Skills!C66,"")</f>
        <v/>
      </c>
      <c r="G128" s="764" t="str">
        <f>IF(Skills!D66&lt;&gt;"",Skills!D66,"")</f>
        <v/>
      </c>
      <c r="H128" s="764"/>
      <c r="I128" s="764"/>
      <c r="J128" s="764"/>
      <c r="K128" s="764"/>
      <c r="L128" s="764"/>
      <c r="M128" s="764"/>
      <c r="N128" s="764"/>
      <c r="O128" s="764"/>
      <c r="P128" s="758"/>
      <c r="Q128" s="758"/>
      <c r="R128" s="758"/>
      <c r="S128" s="758"/>
      <c r="T128" s="758"/>
      <c r="U128" s="758"/>
      <c r="V128" s="758"/>
      <c r="W128" s="758"/>
      <c r="X128" s="758"/>
      <c r="Y128" s="758"/>
      <c r="Z128" s="758"/>
      <c r="AA128" s="758"/>
      <c r="AB128" s="758"/>
      <c r="AC128" s="296"/>
      <c r="AD128" s="296"/>
      <c r="AE128" s="296"/>
      <c r="AF128" s="296"/>
      <c r="AG128" s="296"/>
    </row>
    <row r="129" spans="1:33" x14ac:dyDescent="0.2">
      <c r="A129" s="250" t="str">
        <f>IF(Skills!A67&lt;&gt;"",Skills!A67,"")</f>
        <v>Artisan ?</v>
      </c>
      <c r="B129" s="250"/>
      <c r="C129" s="250"/>
      <c r="D129" s="250"/>
      <c r="E129" s="71" t="str">
        <f>IF(Skills!B67&lt;&gt;"",Skills!B67,"")</f>
        <v>Un</v>
      </c>
      <c r="F129" s="71" t="str">
        <f>IF(Skills!C67&lt;&gt;"",Skills!C67,"")</f>
        <v/>
      </c>
      <c r="G129" s="764" t="str">
        <f>IF(Skills!D67&lt;&gt;"",Skills!D67,"")</f>
        <v/>
      </c>
      <c r="H129" s="764"/>
      <c r="I129" s="764"/>
      <c r="J129" s="764"/>
      <c r="K129" s="764"/>
      <c r="L129" s="764"/>
      <c r="M129" s="764"/>
      <c r="N129" s="764"/>
      <c r="O129" s="764"/>
      <c r="P129" s="758"/>
      <c r="Q129" s="758"/>
      <c r="R129" s="758"/>
      <c r="S129" s="758"/>
      <c r="T129" s="758"/>
      <c r="U129" s="758"/>
      <c r="V129" s="758"/>
      <c r="W129" s="758"/>
      <c r="X129" s="758"/>
      <c r="Y129" s="758"/>
      <c r="Z129" s="758"/>
      <c r="AA129" s="758"/>
      <c r="AB129" s="758"/>
      <c r="AC129" s="296"/>
      <c r="AD129" s="296"/>
      <c r="AE129" s="296"/>
      <c r="AF129" s="296"/>
      <c r="AG129" s="296"/>
    </row>
    <row r="130" spans="1:33" x14ac:dyDescent="0.2">
      <c r="A130" s="250" t="str">
        <f>IF(Skills!A68&lt;&gt;"",Skills!A68,"")</f>
        <v>Artisan ?</v>
      </c>
      <c r="B130" s="250"/>
      <c r="C130" s="250"/>
      <c r="D130" s="250"/>
      <c r="E130" s="71" t="str">
        <f>IF(Skills!B68&lt;&gt;"",Skills!B68,"")</f>
        <v>Un</v>
      </c>
      <c r="F130" s="71" t="str">
        <f>IF(Skills!C68&lt;&gt;"",Skills!C68,"")</f>
        <v/>
      </c>
      <c r="G130" s="764" t="str">
        <f>IF(Skills!D68&lt;&gt;"",Skills!D68,"")</f>
        <v/>
      </c>
      <c r="H130" s="764"/>
      <c r="I130" s="764"/>
      <c r="J130" s="764"/>
      <c r="K130" s="764"/>
      <c r="L130" s="764"/>
      <c r="M130" s="764"/>
      <c r="N130" s="764"/>
      <c r="O130" s="764"/>
      <c r="P130" s="758"/>
      <c r="Q130" s="758"/>
      <c r="R130" s="758"/>
      <c r="S130" s="758"/>
      <c r="T130" s="758"/>
      <c r="U130" s="758"/>
      <c r="V130" s="758"/>
      <c r="W130" s="758"/>
      <c r="X130" s="758"/>
      <c r="Y130" s="758"/>
      <c r="Z130" s="758"/>
      <c r="AA130" s="758"/>
      <c r="AB130" s="758"/>
      <c r="AC130" s="296"/>
      <c r="AD130" s="296"/>
      <c r="AE130" s="296"/>
      <c r="AF130" s="296"/>
      <c r="AG130" s="296"/>
    </row>
    <row r="131" spans="1:33" x14ac:dyDescent="0.2">
      <c r="A131" s="250" t="str">
        <f>IF(Skills!A69&lt;&gt;"",Skills!A69,"")</f>
        <v>Artisan ?</v>
      </c>
      <c r="B131" s="250"/>
      <c r="C131" s="250"/>
      <c r="D131" s="250"/>
      <c r="E131" s="71" t="str">
        <f>IF(Skills!B69&lt;&gt;"",Skills!B69,"")</f>
        <v>Un</v>
      </c>
      <c r="F131" s="71" t="str">
        <f>IF(Skills!C69&lt;&gt;"",Skills!C69,"")</f>
        <v/>
      </c>
      <c r="G131" s="764" t="str">
        <f>IF(Skills!D69&lt;&gt;"",Skills!D69,"")</f>
        <v/>
      </c>
      <c r="H131" s="764"/>
      <c r="I131" s="764"/>
      <c r="J131" s="764"/>
      <c r="K131" s="764"/>
      <c r="L131" s="764"/>
      <c r="M131" s="764"/>
      <c r="N131" s="764"/>
      <c r="O131" s="764"/>
      <c r="P131" s="758"/>
      <c r="Q131" s="758"/>
      <c r="R131" s="758"/>
      <c r="S131" s="758"/>
      <c r="T131" s="758"/>
      <c r="U131" s="758"/>
      <c r="V131" s="758"/>
      <c r="W131" s="758"/>
      <c r="X131" s="758"/>
      <c r="Y131" s="758"/>
      <c r="Z131" s="758"/>
      <c r="AA131" s="758"/>
      <c r="AB131" s="758"/>
      <c r="AC131" s="296"/>
      <c r="AD131" s="296"/>
      <c r="AE131" s="296"/>
      <c r="AF131" s="296"/>
      <c r="AG131" s="296"/>
    </row>
    <row r="132" spans="1:33" x14ac:dyDescent="0.2">
      <c r="A132" s="250" t="str">
        <f>IF(Skills!A70&lt;&gt;"",Skills!A70,"")</f>
        <v>Artisan ?</v>
      </c>
      <c r="B132" s="250"/>
      <c r="C132" s="250"/>
      <c r="D132" s="250"/>
      <c r="E132" s="71" t="str">
        <f>IF(Skills!B70&lt;&gt;"",Skills!B70,"")</f>
        <v>Un</v>
      </c>
      <c r="F132" s="71" t="str">
        <f>IF(Skills!C70&lt;&gt;"",Skills!C70,"")</f>
        <v/>
      </c>
      <c r="G132" s="764" t="str">
        <f>IF(Skills!D70&lt;&gt;"",Skills!D70,"")</f>
        <v/>
      </c>
      <c r="H132" s="764"/>
      <c r="I132" s="764"/>
      <c r="J132" s="764"/>
      <c r="K132" s="764"/>
      <c r="L132" s="764"/>
      <c r="M132" s="764"/>
      <c r="N132" s="764"/>
      <c r="O132" s="764"/>
      <c r="P132" s="758"/>
      <c r="Q132" s="758"/>
      <c r="R132" s="758"/>
      <c r="S132" s="758"/>
      <c r="T132" s="758"/>
      <c r="U132" s="758"/>
      <c r="V132" s="758"/>
      <c r="W132" s="758"/>
      <c r="X132" s="758"/>
      <c r="Y132" s="758"/>
      <c r="Z132" s="758"/>
      <c r="AA132" s="758"/>
      <c r="AB132" s="758"/>
      <c r="AC132" s="296"/>
      <c r="AD132" s="296"/>
      <c r="AE132" s="296"/>
      <c r="AF132" s="296"/>
      <c r="AG132" s="296"/>
    </row>
    <row r="133" spans="1:33" x14ac:dyDescent="0.2">
      <c r="A133" s="250" t="str">
        <f>IF(Skills!A71&lt;&gt;"",Skills!A71,"")</f>
        <v>Artisan ?</v>
      </c>
      <c r="B133" s="250"/>
      <c r="C133" s="250"/>
      <c r="D133" s="250"/>
      <c r="E133" s="71" t="str">
        <f>IF(Skills!B71&lt;&gt;"",Skills!B71,"")</f>
        <v>Un</v>
      </c>
      <c r="F133" s="71" t="str">
        <f>IF(Skills!C71&lt;&gt;"",Skills!C71,"")</f>
        <v/>
      </c>
      <c r="G133" s="764" t="str">
        <f>IF(Skills!D71&lt;&gt;"",Skills!D71,"")</f>
        <v/>
      </c>
      <c r="H133" s="764"/>
      <c r="I133" s="764"/>
      <c r="J133" s="764"/>
      <c r="K133" s="764"/>
      <c r="L133" s="764"/>
      <c r="M133" s="764"/>
      <c r="N133" s="764"/>
      <c r="O133" s="764"/>
      <c r="P133" s="758"/>
      <c r="Q133" s="758"/>
      <c r="R133" s="758"/>
      <c r="S133" s="758"/>
      <c r="T133" s="758"/>
      <c r="U133" s="758"/>
      <c r="V133" s="758"/>
      <c r="W133" s="758"/>
      <c r="X133" s="758"/>
      <c r="Y133" s="758"/>
      <c r="Z133" s="758"/>
      <c r="AA133" s="758"/>
      <c r="AB133" s="758"/>
      <c r="AC133" s="296"/>
      <c r="AD133" s="296"/>
      <c r="AE133" s="296"/>
      <c r="AF133" s="296"/>
      <c r="AG133" s="296"/>
    </row>
    <row r="134" spans="1:33" x14ac:dyDescent="0.2">
      <c r="A134" s="201" t="str">
        <f>IF(Skills!A73&gt;"",Skills!A73,"")</f>
        <v/>
      </c>
      <c r="B134" s="201"/>
      <c r="C134" s="201"/>
      <c r="D134" s="201"/>
      <c r="E134" s="43" t="str">
        <f>IF(Skills!B73&gt;"",Skills!B73,"")</f>
        <v/>
      </c>
      <c r="F134" s="71" t="str">
        <f>IF(Skills!C73&gt;"",Skills!C73,"")</f>
        <v/>
      </c>
      <c r="G134" s="826" t="str">
        <f>IF(Skills!D73&gt;"",Skills!D73,"")</f>
        <v/>
      </c>
      <c r="H134" s="826"/>
      <c r="I134" s="826"/>
      <c r="J134" s="826"/>
      <c r="K134" s="826"/>
      <c r="L134" s="826"/>
      <c r="M134" s="826"/>
      <c r="N134" s="826"/>
      <c r="O134" s="826"/>
      <c r="P134" s="758"/>
      <c r="Q134" s="758"/>
      <c r="R134" s="758"/>
      <c r="S134" s="758"/>
      <c r="T134" s="758"/>
      <c r="U134" s="758"/>
      <c r="V134" s="758"/>
      <c r="W134" s="758"/>
      <c r="X134" s="758"/>
      <c r="Y134" s="758"/>
      <c r="Z134" s="758"/>
      <c r="AA134" s="758"/>
      <c r="AB134" s="758"/>
      <c r="AC134" s="296"/>
      <c r="AD134" s="296"/>
      <c r="AE134" s="296"/>
      <c r="AF134" s="296"/>
      <c r="AG134" s="296"/>
    </row>
    <row r="135" spans="1:33" x14ac:dyDescent="0.2">
      <c r="A135" s="207" t="str">
        <f>Skills!A74</f>
        <v>Adventuring Skills</v>
      </c>
      <c r="B135" s="207"/>
      <c r="C135" s="207"/>
      <c r="D135" s="207"/>
      <c r="E135" s="188"/>
      <c r="F135" s="191"/>
      <c r="G135" s="782"/>
      <c r="H135" s="782"/>
      <c r="I135" s="782"/>
      <c r="J135" s="782"/>
      <c r="K135" s="782"/>
      <c r="L135" s="782"/>
      <c r="M135" s="782"/>
      <c r="N135" s="782"/>
      <c r="O135" s="782"/>
      <c r="P135" s="760"/>
      <c r="Q135" s="760"/>
      <c r="R135" s="760"/>
      <c r="S135" s="760"/>
      <c r="T135" s="760"/>
      <c r="U135" s="760"/>
      <c r="V135" s="760"/>
      <c r="W135" s="760"/>
      <c r="X135" s="760"/>
      <c r="Y135" s="760"/>
      <c r="Z135" s="760"/>
      <c r="AA135" s="760"/>
      <c r="AB135" s="760"/>
      <c r="AC135" s="301"/>
      <c r="AD135" s="301"/>
      <c r="AE135" s="301"/>
      <c r="AF135" s="301"/>
      <c r="AG135" s="301"/>
    </row>
    <row r="136" spans="1:33" x14ac:dyDescent="0.2">
      <c r="A136" s="201" t="str">
        <f>Skills!A75</f>
        <v>Climbing</v>
      </c>
      <c r="B136" s="201"/>
      <c r="C136" s="201"/>
      <c r="D136" s="201"/>
      <c r="E136" s="43">
        <f>Skills!B75</f>
        <v>0</v>
      </c>
      <c r="F136" s="71">
        <f>Skills!C75</f>
        <v>52</v>
      </c>
      <c r="G136" s="764" t="str">
        <f>IF(Skills!D75&lt;&gt;"",Skills!D75,"")</f>
        <v>-1% per 10' check every 20'</v>
      </c>
      <c r="H136" s="764"/>
      <c r="I136" s="764"/>
      <c r="J136" s="764"/>
      <c r="K136" s="764"/>
      <c r="L136" s="764"/>
      <c r="M136" s="764"/>
      <c r="N136" s="764"/>
      <c r="O136" s="764"/>
      <c r="P136" s="758"/>
      <c r="Q136" s="758"/>
      <c r="R136" s="758"/>
      <c r="S136" s="758"/>
      <c r="T136" s="758"/>
      <c r="U136" s="758"/>
      <c r="V136" s="758"/>
      <c r="W136" s="758"/>
      <c r="X136" s="758"/>
      <c r="Y136" s="758"/>
      <c r="Z136" s="758"/>
      <c r="AA136" s="758"/>
      <c r="AB136" s="758"/>
      <c r="AC136" s="296"/>
      <c r="AD136" s="296"/>
      <c r="AE136" s="296"/>
      <c r="AF136" s="296"/>
      <c r="AG136" s="296"/>
    </row>
    <row r="137" spans="1:33" x14ac:dyDescent="0.2">
      <c r="A137" s="205" t="str">
        <f>Skills!A76</f>
        <v>Flying</v>
      </c>
      <c r="B137" s="205"/>
      <c r="C137" s="205"/>
      <c r="D137" s="205"/>
      <c r="E137" s="40">
        <f>Skills!B76</f>
        <v>0</v>
      </c>
      <c r="F137" s="71">
        <f>Skills!C76</f>
        <v>33</v>
      </c>
      <c r="G137" s="764" t="str">
        <f>IF(Skills!D76&lt;&gt;"",Skills!D76,"")</f>
        <v>Weapon use: 1H</v>
      </c>
      <c r="H137" s="764"/>
      <c r="I137" s="764"/>
      <c r="J137" s="764"/>
      <c r="K137" s="764"/>
      <c r="L137" s="764"/>
      <c r="M137" s="764"/>
      <c r="N137" s="764"/>
      <c r="O137" s="764"/>
      <c r="P137" s="758"/>
      <c r="Q137" s="758"/>
      <c r="R137" s="758"/>
      <c r="S137" s="758"/>
      <c r="T137" s="758"/>
      <c r="U137" s="758"/>
      <c r="V137" s="758"/>
      <c r="W137" s="758"/>
      <c r="X137" s="758"/>
      <c r="Y137" s="758"/>
      <c r="Z137" s="758"/>
      <c r="AA137" s="758"/>
      <c r="AB137" s="758"/>
      <c r="AC137" s="296"/>
      <c r="AD137" s="296"/>
      <c r="AE137" s="296"/>
      <c r="AF137" s="296"/>
      <c r="AG137" s="296"/>
    </row>
    <row r="138" spans="1:33" x14ac:dyDescent="0.2">
      <c r="A138" s="201" t="str">
        <f>Skills!A77</f>
        <v>Horsemanship</v>
      </c>
      <c r="B138" s="201"/>
      <c r="C138" s="201"/>
      <c r="D138" s="201"/>
      <c r="E138" s="43">
        <f>Skills!B77</f>
        <v>0</v>
      </c>
      <c r="F138" s="71">
        <f>Skills!C77</f>
        <v>13</v>
      </c>
      <c r="G138" s="764" t="str">
        <f>IF(Skills!D77&lt;&gt;"",Skills!D77,"")</f>
        <v>Weapon use: 1H</v>
      </c>
      <c r="H138" s="764"/>
      <c r="I138" s="764"/>
      <c r="J138" s="764"/>
      <c r="K138" s="764"/>
      <c r="L138" s="764"/>
      <c r="M138" s="764"/>
      <c r="N138" s="764"/>
      <c r="O138" s="764"/>
      <c r="P138" s="758"/>
      <c r="Q138" s="758"/>
      <c r="R138" s="758"/>
      <c r="S138" s="758"/>
      <c r="T138" s="758"/>
      <c r="U138" s="758"/>
      <c r="V138" s="758"/>
      <c r="W138" s="758"/>
      <c r="X138" s="758"/>
      <c r="Y138" s="758"/>
      <c r="Z138" s="758"/>
      <c r="AA138" s="758"/>
      <c r="AB138" s="758"/>
      <c r="AC138" s="296"/>
      <c r="AD138" s="296"/>
      <c r="AE138" s="296"/>
      <c r="AF138" s="296"/>
      <c r="AG138" s="296"/>
    </row>
    <row r="139" spans="1:33" x14ac:dyDescent="0.2">
      <c r="A139" s="205" t="str">
        <f>Skills!A78</f>
        <v>Stealth</v>
      </c>
      <c r="B139" s="205"/>
      <c r="C139" s="205"/>
      <c r="D139" s="205"/>
      <c r="E139" s="40">
        <f>Skills!B78</f>
        <v>0</v>
      </c>
      <c r="F139" s="71">
        <f>Skills!C78</f>
        <v>33</v>
      </c>
      <c r="G139" s="780" t="str">
        <f>Skills!D78</f>
        <v>Outdoors: 33</v>
      </c>
      <c r="H139" s="780"/>
      <c r="I139" s="780"/>
      <c r="J139" s="780"/>
      <c r="K139" s="780"/>
      <c r="L139" s="780"/>
      <c r="M139" s="780"/>
      <c r="N139" s="780"/>
      <c r="O139" s="780"/>
      <c r="P139" s="760"/>
      <c r="Q139" s="760"/>
      <c r="R139" s="760"/>
      <c r="S139" s="760"/>
      <c r="T139" s="760"/>
      <c r="U139" s="760"/>
      <c r="V139" s="760"/>
      <c r="W139" s="760"/>
      <c r="X139" s="760"/>
      <c r="Y139" s="760"/>
      <c r="Z139" s="760"/>
      <c r="AA139" s="760"/>
      <c r="AB139" s="760"/>
      <c r="AC139" s="298"/>
      <c r="AD139" s="298"/>
      <c r="AE139" s="298"/>
      <c r="AF139" s="298"/>
      <c r="AG139" s="298"/>
    </row>
    <row r="140" spans="1:33" x14ac:dyDescent="0.2">
      <c r="A140" s="201" t="str">
        <f>Skills!A79</f>
        <v>Swimming</v>
      </c>
      <c r="B140" s="201"/>
      <c r="C140" s="201"/>
      <c r="D140" s="201"/>
      <c r="E140" s="43">
        <f>Skills!B79</f>
        <v>0</v>
      </c>
      <c r="F140" s="71">
        <f>Skills!C79</f>
        <v>16</v>
      </c>
      <c r="G140" s="827" t="str">
        <f ca="1">IF(Skills!D79&lt;&gt;"",Skills!D79,"")</f>
        <v>Swim TMR: 1</v>
      </c>
      <c r="H140" s="827"/>
      <c r="I140" s="827"/>
      <c r="J140" s="827"/>
      <c r="K140" s="827"/>
      <c r="L140" s="827"/>
      <c r="M140" s="827"/>
      <c r="N140" s="827"/>
      <c r="O140" s="827"/>
      <c r="P140" s="760"/>
      <c r="Q140" s="760"/>
      <c r="R140" s="760"/>
      <c r="S140" s="760"/>
      <c r="T140" s="760"/>
      <c r="U140" s="760"/>
      <c r="V140" s="760"/>
      <c r="W140" s="760"/>
      <c r="X140" s="760"/>
      <c r="Y140" s="760"/>
      <c r="Z140" s="760"/>
      <c r="AA140" s="760"/>
      <c r="AB140" s="760"/>
      <c r="AC140" s="298"/>
      <c r="AD140" s="298"/>
      <c r="AE140" s="298"/>
      <c r="AF140" s="298"/>
      <c r="AG140" s="298"/>
    </row>
    <row r="141" spans="1:33" x14ac:dyDescent="0.2">
      <c r="A141" s="210" t="str">
        <f>Skills!A80</f>
        <v>Languages</v>
      </c>
      <c r="B141" s="210"/>
      <c r="C141" s="210"/>
      <c r="D141" s="210"/>
      <c r="E141" s="188"/>
      <c r="F141" s="191"/>
      <c r="G141" s="782"/>
      <c r="H141" s="782"/>
      <c r="I141" s="782"/>
      <c r="J141" s="782"/>
      <c r="K141" s="782"/>
      <c r="L141" s="782"/>
      <c r="M141" s="782"/>
      <c r="N141" s="782"/>
      <c r="O141" s="782"/>
      <c r="P141" s="760"/>
      <c r="Q141" s="760"/>
      <c r="R141" s="760"/>
      <c r="S141" s="760"/>
      <c r="T141" s="760"/>
      <c r="U141" s="760"/>
      <c r="V141" s="760"/>
      <c r="W141" s="760"/>
      <c r="X141" s="760"/>
      <c r="Y141" s="760"/>
      <c r="Z141" s="760"/>
      <c r="AA141" s="760"/>
      <c r="AB141" s="760"/>
      <c r="AC141" s="301"/>
      <c r="AD141" s="301"/>
      <c r="AE141" s="301"/>
      <c r="AF141" s="301"/>
      <c r="AG141" s="301"/>
    </row>
    <row r="142" spans="1:33" x14ac:dyDescent="0.2">
      <c r="A142" s="201" t="str">
        <f>Skills!A81</f>
        <v>Common</v>
      </c>
      <c r="B142" s="201"/>
      <c r="C142" s="201"/>
      <c r="D142" s="201"/>
      <c r="E142" s="43" t="str">
        <f>IF(LEN(A142)&gt;1,SUBSTITUTE(VLOOKUP(A142,Languages!$A$3:$C$90,3,FALSE),"-1","",1),"")</f>
        <v>8</v>
      </c>
      <c r="F142" s="71"/>
      <c r="G142" s="780" t="str">
        <f>Skills!D81</f>
        <v>Westron</v>
      </c>
      <c r="H142" s="780"/>
      <c r="I142" s="780"/>
      <c r="J142" s="780"/>
      <c r="K142" s="780"/>
      <c r="L142" s="780"/>
      <c r="M142" s="780"/>
      <c r="N142" s="780"/>
      <c r="O142" s="780"/>
      <c r="P142" s="760"/>
      <c r="Q142" s="760"/>
      <c r="R142" s="760"/>
      <c r="S142" s="760"/>
      <c r="T142" s="760"/>
      <c r="U142" s="760"/>
      <c r="V142" s="760"/>
      <c r="W142" s="760"/>
      <c r="X142" s="760"/>
      <c r="Y142" s="760"/>
      <c r="Z142" s="760"/>
      <c r="AA142" s="760"/>
      <c r="AB142" s="760"/>
      <c r="AC142" s="298"/>
      <c r="AD142" s="298"/>
      <c r="AE142" s="298"/>
      <c r="AF142" s="298"/>
      <c r="AG142" s="298"/>
    </row>
    <row r="143" spans="1:33" x14ac:dyDescent="0.2">
      <c r="A143" s="205" t="str">
        <f>Skills!A82</f>
        <v>Dwarvish</v>
      </c>
      <c r="B143" s="205"/>
      <c r="C143" s="205"/>
      <c r="D143" s="205"/>
      <c r="E143" s="40" t="str">
        <f>IF(LEN(A143)&gt;1,SUBSTITUTE(VLOOKUP(A143,Languages!$A$3:$C$90,3,FALSE),"-1","",1),"")</f>
        <v/>
      </c>
      <c r="F143" s="71"/>
      <c r="G143" s="780">
        <f>Skills!D82</f>
        <v>0</v>
      </c>
      <c r="H143" s="780"/>
      <c r="I143" s="780"/>
      <c r="J143" s="780"/>
      <c r="K143" s="780"/>
      <c r="L143" s="780"/>
      <c r="M143" s="780"/>
      <c r="N143" s="780"/>
      <c r="O143" s="780"/>
      <c r="P143" s="760"/>
      <c r="Q143" s="760"/>
      <c r="R143" s="760"/>
      <c r="S143" s="760"/>
      <c r="T143" s="760"/>
      <c r="U143" s="760"/>
      <c r="V143" s="760"/>
      <c r="W143" s="760"/>
      <c r="X143" s="760"/>
      <c r="Y143" s="760"/>
      <c r="Z143" s="760"/>
      <c r="AA143" s="760"/>
      <c r="AB143" s="760"/>
      <c r="AC143" s="298"/>
      <c r="AD143" s="298"/>
      <c r="AE143" s="298"/>
      <c r="AF143" s="298"/>
      <c r="AG143" s="298"/>
    </row>
    <row r="144" spans="1:33" x14ac:dyDescent="0.2">
      <c r="A144" s="201" t="str">
        <f>Skills!A83</f>
        <v>Elvish</v>
      </c>
      <c r="B144" s="201"/>
      <c r="C144" s="201"/>
      <c r="D144" s="201"/>
      <c r="E144" s="43" t="str">
        <f>IF(LEN(A144)&gt;1,SUBSTITUTE(VLOOKUP(A144,Languages!$A$3:$C$90,3,FALSE),"-1","",1),"")</f>
        <v/>
      </c>
      <c r="F144" s="71"/>
      <c r="G144" s="780"/>
      <c r="H144" s="780"/>
      <c r="I144" s="780"/>
      <c r="J144" s="780"/>
      <c r="K144" s="780"/>
      <c r="L144" s="780"/>
      <c r="M144" s="780"/>
      <c r="N144" s="780"/>
      <c r="O144" s="780"/>
      <c r="P144" s="760"/>
      <c r="Q144" s="760"/>
      <c r="R144" s="760"/>
      <c r="S144" s="760"/>
      <c r="T144" s="760"/>
      <c r="U144" s="760"/>
      <c r="V144" s="760"/>
      <c r="W144" s="760"/>
      <c r="X144" s="760"/>
      <c r="Y144" s="760"/>
      <c r="Z144" s="760"/>
      <c r="AA144" s="760"/>
      <c r="AB144" s="760"/>
      <c r="AC144" s="298"/>
      <c r="AD144" s="298"/>
      <c r="AE144" s="298"/>
      <c r="AF144" s="298"/>
      <c r="AG144" s="298"/>
    </row>
    <row r="145" spans="1:33" x14ac:dyDescent="0.2">
      <c r="A145" s="205" t="str">
        <f>Skills!A84</f>
        <v>Halfling</v>
      </c>
      <c r="B145" s="205"/>
      <c r="C145" s="205"/>
      <c r="D145" s="205"/>
      <c r="E145" s="40" t="str">
        <f>IF(LEN(A145)&gt;1,SUBSTITUTE(VLOOKUP(A145,Languages!$A$3:$C$90,3,FALSE),"-1","",1),"")</f>
        <v/>
      </c>
      <c r="F145" s="71"/>
      <c r="G145" s="780"/>
      <c r="H145" s="780"/>
      <c r="I145" s="780"/>
      <c r="J145" s="780"/>
      <c r="K145" s="780"/>
      <c r="L145" s="780"/>
      <c r="M145" s="780"/>
      <c r="N145" s="780"/>
      <c r="O145" s="780"/>
      <c r="P145" s="760"/>
      <c r="Q145" s="760"/>
      <c r="R145" s="760"/>
      <c r="S145" s="760"/>
      <c r="T145" s="760"/>
      <c r="U145" s="760"/>
      <c r="V145" s="760"/>
      <c r="W145" s="760"/>
      <c r="X145" s="760"/>
      <c r="Y145" s="760"/>
      <c r="Z145" s="760"/>
      <c r="AA145" s="760"/>
      <c r="AB145" s="760"/>
      <c r="AC145" s="298"/>
      <c r="AD145" s="298"/>
      <c r="AE145" s="298"/>
      <c r="AF145" s="298"/>
      <c r="AG145" s="298"/>
    </row>
    <row r="146" spans="1:33" x14ac:dyDescent="0.2">
      <c r="A146" s="201" t="str">
        <f>Skills!A85</f>
        <v>Hill Giant</v>
      </c>
      <c r="B146" s="201"/>
      <c r="C146" s="201"/>
      <c r="D146" s="201"/>
      <c r="E146" s="43" t="str">
        <f>IF(LEN(A146)&gt;1,SUBSTITUTE(VLOOKUP(A146,Languages!$A$3:$C$90,3,FALSE),"-1","",1),"")</f>
        <v/>
      </c>
      <c r="F146" s="71"/>
      <c r="G146" s="780"/>
      <c r="H146" s="780"/>
      <c r="I146" s="780"/>
      <c r="J146" s="780"/>
      <c r="K146" s="780"/>
      <c r="L146" s="780"/>
      <c r="M146" s="780"/>
      <c r="N146" s="780"/>
      <c r="O146" s="780"/>
      <c r="P146" s="760"/>
      <c r="Q146" s="760"/>
      <c r="R146" s="760"/>
      <c r="S146" s="760"/>
      <c r="T146" s="760"/>
      <c r="U146" s="760"/>
      <c r="V146" s="760"/>
      <c r="W146" s="760"/>
      <c r="X146" s="760"/>
      <c r="Y146" s="760"/>
      <c r="Z146" s="760"/>
      <c r="AA146" s="760"/>
      <c r="AB146" s="760"/>
      <c r="AC146" s="298"/>
      <c r="AD146" s="298"/>
      <c r="AE146" s="298"/>
      <c r="AF146" s="298"/>
      <c r="AG146" s="298"/>
    </row>
    <row r="147" spans="1:33" x14ac:dyDescent="0.2">
      <c r="A147" s="205" t="str">
        <f>Skills!A86</f>
        <v>Orcish</v>
      </c>
      <c r="B147" s="205"/>
      <c r="C147" s="205"/>
      <c r="D147" s="205"/>
      <c r="E147" s="40" t="str">
        <f>IF(LEN(A147)&gt;1,SUBSTITUTE(VLOOKUP(A147,Languages!$A$3:$C$90,3,FALSE),"-1","",1),"")</f>
        <v/>
      </c>
      <c r="F147" s="71"/>
      <c r="G147" s="780"/>
      <c r="H147" s="780"/>
      <c r="I147" s="780"/>
      <c r="J147" s="780"/>
      <c r="K147" s="780"/>
      <c r="L147" s="780"/>
      <c r="M147" s="780"/>
      <c r="N147" s="780"/>
      <c r="O147" s="780"/>
      <c r="P147" s="760"/>
      <c r="Q147" s="760"/>
      <c r="R147" s="760"/>
      <c r="S147" s="760"/>
      <c r="T147" s="760"/>
      <c r="U147" s="760"/>
      <c r="V147" s="760"/>
      <c r="W147" s="760"/>
      <c r="X147" s="760"/>
      <c r="Y147" s="760"/>
      <c r="Z147" s="760"/>
      <c r="AA147" s="760"/>
      <c r="AB147" s="760"/>
      <c r="AC147" s="298"/>
      <c r="AD147" s="298"/>
      <c r="AE147" s="298"/>
      <c r="AF147" s="298"/>
      <c r="AG147" s="298"/>
    </row>
    <row r="148" spans="1:33" x14ac:dyDescent="0.2">
      <c r="A148" s="201" t="str">
        <f>Skills!A87</f>
        <v>Silent Tongue</v>
      </c>
      <c r="B148" s="201"/>
      <c r="C148" s="201"/>
      <c r="D148" s="201"/>
      <c r="E148" s="43" t="str">
        <f>IF(LEN(A148)&gt;1,SUBSTITUTE(VLOOKUP(A148,Languages!$A$3:$C$90,3,FALSE),"-1","",1),"")</f>
        <v/>
      </c>
      <c r="F148" s="71"/>
      <c r="G148" s="780"/>
      <c r="H148" s="780"/>
      <c r="I148" s="780"/>
      <c r="J148" s="780"/>
      <c r="K148" s="780"/>
      <c r="L148" s="780"/>
      <c r="M148" s="780"/>
      <c r="N148" s="780"/>
      <c r="O148" s="780"/>
      <c r="P148" s="760"/>
      <c r="Q148" s="760"/>
      <c r="R148" s="760"/>
      <c r="S148" s="760"/>
      <c r="T148" s="760"/>
      <c r="U148" s="760"/>
      <c r="V148" s="760"/>
      <c r="W148" s="760"/>
      <c r="X148" s="760"/>
      <c r="Y148" s="760"/>
      <c r="Z148" s="760"/>
      <c r="AA148" s="760"/>
      <c r="AB148" s="760"/>
      <c r="AC148" s="298"/>
      <c r="AD148" s="298"/>
      <c r="AE148" s="298"/>
      <c r="AF148" s="298"/>
      <c r="AG148" s="298"/>
    </row>
    <row r="149" spans="1:33" x14ac:dyDescent="0.2">
      <c r="A149" s="205">
        <f>Skills!A88</f>
        <v>0</v>
      </c>
      <c r="B149" s="205"/>
      <c r="C149" s="205"/>
      <c r="D149" s="205"/>
      <c r="E149" s="40" t="str">
        <f>IF(LEN(A149)&gt;1,SUBSTITUTE(VLOOKUP(A149,Languages!$A$3:$C$90,3,FALSE),"-1","",1),"")</f>
        <v/>
      </c>
      <c r="F149" s="71"/>
      <c r="G149" s="780"/>
      <c r="H149" s="780"/>
      <c r="I149" s="780"/>
      <c r="J149" s="780"/>
      <c r="K149" s="780"/>
      <c r="L149" s="780"/>
      <c r="M149" s="780"/>
      <c r="N149" s="780"/>
      <c r="O149" s="780"/>
      <c r="P149" s="760"/>
      <c r="Q149" s="760"/>
      <c r="R149" s="760"/>
      <c r="S149" s="760"/>
      <c r="T149" s="760"/>
      <c r="U149" s="760"/>
      <c r="V149" s="760"/>
      <c r="W149" s="760"/>
      <c r="X149" s="760"/>
      <c r="Y149" s="760"/>
      <c r="Z149" s="760"/>
      <c r="AA149" s="760"/>
      <c r="AB149" s="760"/>
      <c r="AC149" s="298"/>
      <c r="AD149" s="298"/>
      <c r="AE149" s="298"/>
      <c r="AF149" s="298"/>
      <c r="AG149" s="298"/>
    </row>
    <row r="150" spans="1:33" x14ac:dyDescent="0.2">
      <c r="A150" s="201">
        <f>Skills!A89</f>
        <v>0</v>
      </c>
      <c r="B150" s="201"/>
      <c r="C150" s="201"/>
      <c r="D150" s="201"/>
      <c r="E150" s="43" t="str">
        <f>IF(LEN(A150)&gt;1,SUBSTITUTE(VLOOKUP(A150,Languages!$A$3:$C$90,3,FALSE),"-1","",1),"")</f>
        <v/>
      </c>
      <c r="F150" s="71"/>
      <c r="G150" s="780"/>
      <c r="H150" s="780"/>
      <c r="I150" s="780"/>
      <c r="J150" s="780"/>
      <c r="K150" s="780"/>
      <c r="L150" s="780"/>
      <c r="M150" s="780"/>
      <c r="N150" s="780"/>
      <c r="O150" s="780"/>
      <c r="P150" s="760"/>
      <c r="Q150" s="760"/>
      <c r="R150" s="760"/>
      <c r="S150" s="760"/>
      <c r="T150" s="760"/>
      <c r="U150" s="760"/>
      <c r="V150" s="760"/>
      <c r="W150" s="760"/>
      <c r="X150" s="760"/>
      <c r="Y150" s="760"/>
      <c r="Z150" s="760"/>
      <c r="AA150" s="760"/>
      <c r="AB150" s="760"/>
      <c r="AC150" s="298"/>
      <c r="AD150" s="298"/>
      <c r="AE150" s="298"/>
      <c r="AF150" s="298"/>
      <c r="AG150" s="298"/>
    </row>
    <row r="151" spans="1:33" x14ac:dyDescent="0.2">
      <c r="A151" s="205">
        <f>Skills!A90</f>
        <v>0</v>
      </c>
      <c r="B151" s="205"/>
      <c r="C151" s="205"/>
      <c r="D151" s="205"/>
      <c r="E151" s="40" t="str">
        <f>IF(LEN(A151)&gt;1,SUBSTITUTE(VLOOKUP(A151,Languages!$A$3:$C$90,3,FALSE),"-1","",1),"")</f>
        <v/>
      </c>
      <c r="F151" s="71"/>
      <c r="G151" s="780"/>
      <c r="H151" s="780"/>
      <c r="I151" s="780"/>
      <c r="J151" s="780"/>
      <c r="K151" s="780"/>
      <c r="L151" s="780"/>
      <c r="M151" s="780"/>
      <c r="N151" s="780"/>
      <c r="O151" s="780"/>
      <c r="P151" s="760"/>
      <c r="Q151" s="760"/>
      <c r="R151" s="760"/>
      <c r="S151" s="760"/>
      <c r="T151" s="760"/>
      <c r="U151" s="760"/>
      <c r="V151" s="760"/>
      <c r="W151" s="760"/>
      <c r="X151" s="760"/>
      <c r="Y151" s="760"/>
      <c r="Z151" s="760"/>
      <c r="AA151" s="760"/>
      <c r="AB151" s="760"/>
      <c r="AC151" s="298"/>
      <c r="AD151" s="298"/>
      <c r="AE151" s="298"/>
      <c r="AF151" s="298"/>
      <c r="AG151" s="298"/>
    </row>
    <row r="152" spans="1:33" x14ac:dyDescent="0.2">
      <c r="A152" s="201">
        <f>Skills!A91</f>
        <v>0</v>
      </c>
      <c r="B152" s="201"/>
      <c r="C152" s="201"/>
      <c r="D152" s="201"/>
      <c r="E152" s="43" t="str">
        <f>IF(LEN(A152)&gt;1,SUBSTITUTE(VLOOKUP(A152,Languages!$A$3:$C$90,3,FALSE),"-1","",1),"")</f>
        <v/>
      </c>
      <c r="F152" s="71"/>
      <c r="G152" s="780"/>
      <c r="H152" s="780"/>
      <c r="I152" s="780"/>
      <c r="J152" s="780"/>
      <c r="K152" s="780"/>
      <c r="L152" s="780"/>
      <c r="M152" s="780"/>
      <c r="N152" s="780"/>
      <c r="O152" s="780"/>
      <c r="P152" s="760"/>
      <c r="Q152" s="760"/>
      <c r="R152" s="760"/>
      <c r="S152" s="760"/>
      <c r="T152" s="760"/>
      <c r="U152" s="760"/>
      <c r="V152" s="760"/>
      <c r="W152" s="760"/>
      <c r="X152" s="760"/>
      <c r="Y152" s="760"/>
      <c r="Z152" s="760"/>
      <c r="AA152" s="760"/>
      <c r="AB152" s="760"/>
      <c r="AC152" s="298"/>
      <c r="AD152" s="298"/>
      <c r="AE152" s="298"/>
      <c r="AF152" s="298"/>
      <c r="AG152" s="298"/>
    </row>
    <row r="153" spans="1:33" x14ac:dyDescent="0.2">
      <c r="A153" s="205">
        <f>Skills!A92</f>
        <v>0</v>
      </c>
      <c r="B153" s="205"/>
      <c r="C153" s="205"/>
      <c r="D153" s="205"/>
      <c r="E153" s="40" t="str">
        <f>IF(LEN(A153)&gt;1,SUBSTITUTE(VLOOKUP(A153,Languages!$A$3:$C$90,3,FALSE),"-1","",1),"")</f>
        <v/>
      </c>
      <c r="F153" s="71"/>
      <c r="G153" s="780"/>
      <c r="H153" s="780"/>
      <c r="I153" s="780"/>
      <c r="J153" s="780"/>
      <c r="K153" s="780"/>
      <c r="L153" s="780"/>
      <c r="M153" s="780"/>
      <c r="N153" s="780"/>
      <c r="O153" s="780"/>
      <c r="P153" s="760"/>
      <c r="Q153" s="760"/>
      <c r="R153" s="760"/>
      <c r="S153" s="760"/>
      <c r="T153" s="760"/>
      <c r="U153" s="760"/>
      <c r="V153" s="760"/>
      <c r="W153" s="760"/>
      <c r="X153" s="760"/>
      <c r="Y153" s="760"/>
      <c r="Z153" s="760"/>
      <c r="AA153" s="760"/>
      <c r="AB153" s="760"/>
      <c r="AC153" s="298"/>
      <c r="AD153" s="298"/>
      <c r="AE153" s="298"/>
      <c r="AF153" s="298"/>
      <c r="AG153" s="298"/>
    </row>
    <row r="154" spans="1:33" x14ac:dyDescent="0.2">
      <c r="A154" s="201">
        <f>Skills!A93</f>
        <v>0</v>
      </c>
      <c r="B154" s="201"/>
      <c r="C154" s="201"/>
      <c r="D154" s="201"/>
      <c r="E154" s="43" t="str">
        <f>IF(LEN(A154)&gt;1,SUBSTITUTE(VLOOKUP(A154,Languages!$A$3:$C$90,3,FALSE),"-1","",1),"")</f>
        <v/>
      </c>
      <c r="F154" s="71"/>
      <c r="G154" s="780"/>
      <c r="H154" s="780"/>
      <c r="I154" s="780"/>
      <c r="J154" s="780"/>
      <c r="K154" s="780"/>
      <c r="L154" s="780"/>
      <c r="M154" s="780"/>
      <c r="N154" s="780"/>
      <c r="O154" s="780"/>
      <c r="P154" s="760"/>
      <c r="Q154" s="760"/>
      <c r="R154" s="760"/>
      <c r="S154" s="760"/>
      <c r="T154" s="760"/>
      <c r="U154" s="760"/>
      <c r="V154" s="760"/>
      <c r="W154" s="760"/>
      <c r="X154" s="760"/>
      <c r="Y154" s="760"/>
      <c r="Z154" s="760"/>
      <c r="AA154" s="760"/>
      <c r="AB154" s="760"/>
      <c r="AC154" s="298"/>
      <c r="AD154" s="298"/>
      <c r="AE154" s="298"/>
      <c r="AF154" s="298"/>
      <c r="AG154" s="298"/>
    </row>
    <row r="155" spans="1:33" x14ac:dyDescent="0.2">
      <c r="A155" s="205">
        <f>Skills!A94</f>
        <v>0</v>
      </c>
      <c r="B155" s="205"/>
      <c r="C155" s="205"/>
      <c r="D155" s="205"/>
      <c r="E155" s="40" t="str">
        <f>IF(LEN(A155)&gt;1,SUBSTITUTE(VLOOKUP(A155,Languages!$A$3:$C$90,3,FALSE),"-1","",1),"")</f>
        <v/>
      </c>
      <c r="F155" s="71"/>
      <c r="G155" s="780"/>
      <c r="H155" s="780"/>
      <c r="I155" s="780"/>
      <c r="J155" s="780"/>
      <c r="K155" s="780"/>
      <c r="L155" s="780"/>
      <c r="M155" s="780"/>
      <c r="N155" s="780"/>
      <c r="O155" s="780"/>
      <c r="P155" s="760"/>
      <c r="Q155" s="760"/>
      <c r="R155" s="760"/>
      <c r="S155" s="760"/>
      <c r="T155" s="760"/>
      <c r="U155" s="760"/>
      <c r="V155" s="760"/>
      <c r="W155" s="760"/>
      <c r="X155" s="760"/>
      <c r="Y155" s="760"/>
      <c r="Z155" s="760"/>
      <c r="AA155" s="760"/>
      <c r="AB155" s="760"/>
      <c r="AC155" s="298"/>
      <c r="AD155" s="298"/>
      <c r="AE155" s="298"/>
      <c r="AF155" s="298"/>
      <c r="AG155" s="298"/>
    </row>
    <row r="156" spans="1:33" x14ac:dyDescent="0.2">
      <c r="A156" s="201">
        <f>Skills!A95</f>
        <v>0</v>
      </c>
      <c r="B156" s="201"/>
      <c r="C156" s="201"/>
      <c r="D156" s="201"/>
      <c r="E156" s="43" t="str">
        <f>IF(LEN(A156)&gt;1,SUBSTITUTE(VLOOKUP(A156,Languages!$A$3:$C$90,3,FALSE),"-1","",1),"")</f>
        <v/>
      </c>
      <c r="F156" s="71"/>
      <c r="G156" s="780"/>
      <c r="H156" s="780"/>
      <c r="I156" s="780"/>
      <c r="J156" s="780"/>
      <c r="K156" s="780"/>
      <c r="L156" s="780"/>
      <c r="M156" s="780"/>
      <c r="N156" s="780"/>
      <c r="O156" s="780"/>
      <c r="P156" s="760"/>
      <c r="Q156" s="760"/>
      <c r="R156" s="760"/>
      <c r="S156" s="760"/>
      <c r="T156" s="760"/>
      <c r="U156" s="760"/>
      <c r="V156" s="760"/>
      <c r="W156" s="760"/>
      <c r="X156" s="760"/>
      <c r="Y156" s="760"/>
      <c r="Z156" s="760"/>
      <c r="AA156" s="760"/>
      <c r="AB156" s="760"/>
      <c r="AC156" s="298"/>
      <c r="AD156" s="298"/>
      <c r="AE156" s="298"/>
      <c r="AF156" s="298"/>
      <c r="AG156" s="298"/>
    </row>
    <row r="157" spans="1:33" x14ac:dyDescent="0.2">
      <c r="A157" s="208">
        <f>Skills!A96</f>
        <v>0</v>
      </c>
      <c r="B157" s="208"/>
      <c r="C157" s="208"/>
      <c r="D157" s="208"/>
      <c r="E157" s="55" t="str">
        <f>IF(LEN(A157)&gt;1,SUBSTITUTE(VLOOKUP(A157,Languages!$A$3:$C$90,3,FALSE),"-1","",1),"")</f>
        <v/>
      </c>
      <c r="F157" s="72"/>
      <c r="G157" s="827"/>
      <c r="H157" s="827"/>
      <c r="I157" s="827"/>
      <c r="J157" s="827"/>
      <c r="K157" s="827"/>
      <c r="L157" s="827"/>
      <c r="M157" s="827"/>
      <c r="N157" s="827"/>
      <c r="O157" s="827"/>
      <c r="P157" s="760"/>
      <c r="Q157" s="760"/>
      <c r="R157" s="760"/>
      <c r="S157" s="760"/>
      <c r="T157" s="760"/>
      <c r="U157" s="760"/>
      <c r="V157" s="760"/>
      <c r="W157" s="760"/>
      <c r="X157" s="760"/>
      <c r="Y157" s="760"/>
      <c r="Z157" s="760"/>
      <c r="AA157" s="760"/>
      <c r="AB157" s="760"/>
      <c r="AC157" s="298"/>
      <c r="AD157" s="298"/>
      <c r="AE157" s="298"/>
      <c r="AF157" s="298"/>
      <c r="AG157" s="298"/>
    </row>
    <row r="158" spans="1:33" x14ac:dyDescent="0.2">
      <c r="A158" s="202"/>
      <c r="B158" s="202"/>
      <c r="C158" s="202"/>
      <c r="D158" s="202"/>
      <c r="E158" s="202"/>
      <c r="F158" s="202"/>
      <c r="G158" s="202"/>
      <c r="H158" s="202"/>
      <c r="I158" s="202"/>
      <c r="J158" s="202"/>
      <c r="K158" s="202"/>
      <c r="L158" s="202"/>
      <c r="M158" s="202"/>
      <c r="N158" s="202"/>
      <c r="O158" s="202"/>
      <c r="P158" s="202"/>
      <c r="Q158" s="202"/>
      <c r="R158" s="202"/>
      <c r="S158" s="202"/>
      <c r="T158" s="202"/>
      <c r="U158" s="202"/>
      <c r="V158" s="202"/>
      <c r="W158" s="202"/>
      <c r="X158" s="202"/>
      <c r="Y158" s="202"/>
      <c r="Z158" s="202"/>
      <c r="AA158" s="202"/>
      <c r="AB158" s="202"/>
      <c r="AC158" s="202"/>
      <c r="AD158" s="202"/>
      <c r="AE158" s="202"/>
      <c r="AF158" s="202"/>
      <c r="AG158" s="202"/>
    </row>
    <row r="159" spans="1:33" x14ac:dyDescent="0.2">
      <c r="A159" s="771" t="str">
        <f>"NB All of the above numbers are calculated based on a combat Encumbrance of "&amp;Bonuses!$C$3&amp;" lbs."</f>
        <v>NB All of the above numbers are calculated based on a combat Encumbrance of 25 lbs.</v>
      </c>
      <c r="B159" s="771"/>
      <c r="C159" s="771"/>
      <c r="D159" s="771"/>
      <c r="E159" s="771"/>
      <c r="F159" s="771"/>
      <c r="G159" s="771"/>
      <c r="H159" s="771"/>
      <c r="I159" s="771"/>
      <c r="J159" s="771"/>
      <c r="K159" s="771"/>
      <c r="L159" s="771"/>
      <c r="M159" s="771"/>
      <c r="N159" s="196" t="s">
        <v>320</v>
      </c>
      <c r="O159" s="195" t="str">
        <f>"+"&amp;Bonuses!$D$3&amp;" lbs"</f>
        <v>+34.8 lbs</v>
      </c>
      <c r="P159" s="195"/>
      <c r="Q159" s="195"/>
      <c r="R159" s="195"/>
      <c r="S159" s="195"/>
      <c r="T159" s="195"/>
      <c r="U159" s="195"/>
      <c r="V159" s="195"/>
      <c r="W159" s="195"/>
      <c r="X159" s="195"/>
      <c r="Y159" s="195"/>
      <c r="Z159" s="195"/>
      <c r="AA159" s="195"/>
      <c r="AB159" s="195"/>
      <c r="AC159" s="195"/>
      <c r="AD159" s="195"/>
      <c r="AE159" s="195"/>
      <c r="AF159" s="195"/>
      <c r="AG159" s="195"/>
    </row>
    <row r="160" spans="1:33" x14ac:dyDescent="0.2">
      <c r="F160" s="31" t="s">
        <v>145</v>
      </c>
      <c r="G160" s="31" t="s">
        <v>285</v>
      </c>
      <c r="N160" s="31" t="s">
        <v>145</v>
      </c>
      <c r="O160" s="31" t="s">
        <v>285</v>
      </c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</row>
    <row r="161" spans="1:33" x14ac:dyDescent="0.2">
      <c r="A161" s="775" t="str">
        <f>Bonuses!B16</f>
        <v>Hard Leather Armour AP 5 Wt 3 AG -1</v>
      </c>
      <c r="B161" s="829"/>
      <c r="C161" s="829"/>
      <c r="D161" s="829"/>
      <c r="E161" s="776"/>
      <c r="F161" s="169">
        <f>Bonuses!C16</f>
        <v>18</v>
      </c>
      <c r="G161" s="170">
        <f>Bonuses!D16</f>
        <v>0</v>
      </c>
      <c r="H161" s="34"/>
      <c r="I161" s="775">
        <f>Bonuses!B35</f>
        <v>0</v>
      </c>
      <c r="J161" s="776"/>
      <c r="K161" s="776"/>
      <c r="L161" s="776"/>
      <c r="M161" s="776"/>
      <c r="N161" s="169">
        <f>Bonuses!C35</f>
        <v>0</v>
      </c>
      <c r="O161" s="170">
        <f>Bonuses!D35</f>
        <v>0</v>
      </c>
      <c r="P161" s="302"/>
      <c r="Q161" s="302"/>
      <c r="R161" s="302"/>
      <c r="S161" s="302"/>
      <c r="T161" s="302"/>
      <c r="U161" s="302"/>
      <c r="V161" s="302"/>
      <c r="W161" s="302"/>
      <c r="X161" s="302"/>
      <c r="Y161" s="302"/>
      <c r="Z161" s="302"/>
      <c r="AA161" s="302"/>
      <c r="AB161" s="302"/>
      <c r="AC161" s="302"/>
      <c r="AD161" s="302"/>
      <c r="AE161" s="302"/>
      <c r="AF161" s="302"/>
      <c r="AG161" s="302"/>
    </row>
    <row r="162" spans="1:33" x14ac:dyDescent="0.2">
      <c r="A162" s="772" t="str">
        <f>Bonuses!B17</f>
        <v>2nd Armour/Protection</v>
      </c>
      <c r="B162" s="830"/>
      <c r="C162" s="830"/>
      <c r="D162" s="830"/>
      <c r="E162" s="768"/>
      <c r="F162" s="171">
        <f>Bonuses!C17</f>
        <v>0</v>
      </c>
      <c r="G162" s="172">
        <f>Bonuses!D17</f>
        <v>0</v>
      </c>
      <c r="H162" s="34"/>
      <c r="I162" s="772">
        <f>Bonuses!B36</f>
        <v>0</v>
      </c>
      <c r="J162" s="768"/>
      <c r="K162" s="768"/>
      <c r="L162" s="768"/>
      <c r="M162" s="768"/>
      <c r="N162" s="171">
        <f>Bonuses!C36</f>
        <v>0</v>
      </c>
      <c r="O162" s="172">
        <f>Bonuses!D36</f>
        <v>0</v>
      </c>
      <c r="P162" s="302"/>
      <c r="Q162" s="302"/>
      <c r="R162" s="302"/>
      <c r="S162" s="302"/>
      <c r="T162" s="302"/>
      <c r="U162" s="302"/>
      <c r="V162" s="302"/>
      <c r="W162" s="302"/>
      <c r="X162" s="302"/>
      <c r="Y162" s="302"/>
      <c r="Z162" s="302"/>
      <c r="AA162" s="302"/>
      <c r="AB162" s="302"/>
      <c r="AC162" s="302"/>
      <c r="AD162" s="302"/>
      <c r="AE162" s="302"/>
      <c r="AF162" s="302"/>
      <c r="AG162" s="302"/>
    </row>
    <row r="163" spans="1:33" x14ac:dyDescent="0.2">
      <c r="A163" s="772" t="str">
        <f>Bonuses!B18</f>
        <v>3rd Armour/Protection</v>
      </c>
      <c r="B163" s="830"/>
      <c r="C163" s="830"/>
      <c r="D163" s="830"/>
      <c r="E163" s="768"/>
      <c r="F163" s="171">
        <f>Bonuses!C18</f>
        <v>0</v>
      </c>
      <c r="G163" s="172">
        <f>Bonuses!D18</f>
        <v>0</v>
      </c>
      <c r="H163" s="34"/>
      <c r="I163" s="772" t="str">
        <f>Bonuses!B34</f>
        <v>0 Wiccan Amulets</v>
      </c>
      <c r="J163" s="768"/>
      <c r="K163" s="768"/>
      <c r="L163" s="768"/>
      <c r="M163" s="768"/>
      <c r="N163" s="171">
        <f>Bonuses!C34</f>
        <v>0</v>
      </c>
      <c r="O163" s="172">
        <f>Bonuses!D34</f>
        <v>0</v>
      </c>
      <c r="P163" s="302"/>
      <c r="Q163" s="302"/>
      <c r="R163" s="302"/>
      <c r="S163" s="302"/>
      <c r="T163" s="302"/>
      <c r="U163" s="302"/>
      <c r="V163" s="302"/>
      <c r="W163" s="302"/>
      <c r="X163" s="302"/>
      <c r="Y163" s="302"/>
      <c r="Z163" s="302"/>
      <c r="AA163" s="302"/>
      <c r="AB163" s="302"/>
      <c r="AC163" s="302"/>
      <c r="AD163" s="302"/>
      <c r="AE163" s="302"/>
      <c r="AF163" s="302"/>
      <c r="AG163" s="302"/>
    </row>
    <row r="164" spans="1:33" x14ac:dyDescent="0.2">
      <c r="A164" s="772">
        <f>Bonuses!B19</f>
        <v>0</v>
      </c>
      <c r="B164" s="830"/>
      <c r="C164" s="830"/>
      <c r="D164" s="830"/>
      <c r="E164" s="768"/>
      <c r="F164" s="171">
        <f>Bonuses!C19</f>
        <v>0</v>
      </c>
      <c r="G164" s="172">
        <f>Bonuses!D19</f>
        <v>0</v>
      </c>
      <c r="H164" s="34"/>
      <c r="I164" s="767" t="str">
        <f>Bonuses!B37</f>
        <v>Newhaven Starter Kit:</v>
      </c>
      <c r="J164" s="768"/>
      <c r="K164" s="768"/>
      <c r="L164" s="768"/>
      <c r="M164" s="768"/>
      <c r="N164" s="171">
        <f>Bonuses!C37</f>
        <v>0</v>
      </c>
      <c r="O164" s="172">
        <f>Bonuses!D37</f>
        <v>0</v>
      </c>
      <c r="P164" s="302"/>
      <c r="Q164" s="302"/>
      <c r="R164" s="302"/>
      <c r="S164" s="302"/>
      <c r="T164" s="302"/>
      <c r="U164" s="302"/>
      <c r="V164" s="302"/>
      <c r="W164" s="302"/>
      <c r="X164" s="302"/>
      <c r="Y164" s="302"/>
      <c r="Z164" s="302"/>
      <c r="AA164" s="302"/>
      <c r="AB164" s="302"/>
      <c r="AC164" s="302"/>
      <c r="AD164" s="302"/>
      <c r="AE164" s="302"/>
      <c r="AF164" s="302"/>
      <c r="AG164" s="302"/>
    </row>
    <row r="165" spans="1:33" x14ac:dyDescent="0.2">
      <c r="A165" s="772">
        <f>Bonuses!B20</f>
        <v>0</v>
      </c>
      <c r="B165" s="830"/>
      <c r="C165" s="830"/>
      <c r="D165" s="830"/>
      <c r="E165" s="768"/>
      <c r="F165" s="171">
        <f>Bonuses!C20</f>
        <v>0</v>
      </c>
      <c r="G165" s="172">
        <f>Bonuses!D20</f>
        <v>0</v>
      </c>
      <c r="H165" s="34"/>
      <c r="I165" s="767" t="str">
        <f>Bonuses!B38</f>
        <v>Silvered Dagger</v>
      </c>
      <c r="J165" s="768"/>
      <c r="K165" s="768"/>
      <c r="L165" s="768"/>
      <c r="M165" s="768"/>
      <c r="N165" s="171">
        <f>Bonuses!C38</f>
        <v>1</v>
      </c>
      <c r="O165" s="172">
        <f>Bonuses!D38</f>
        <v>0</v>
      </c>
      <c r="P165" s="302"/>
      <c r="Q165" s="302"/>
      <c r="R165" s="302"/>
      <c r="S165" s="302"/>
      <c r="T165" s="302"/>
      <c r="U165" s="302"/>
      <c r="V165" s="302"/>
      <c r="W165" s="302"/>
      <c r="X165" s="302"/>
      <c r="Y165" s="302"/>
      <c r="Z165" s="302"/>
      <c r="AA165" s="302"/>
      <c r="AB165" s="302"/>
      <c r="AC165" s="302"/>
      <c r="AD165" s="302"/>
      <c r="AE165" s="302"/>
      <c r="AF165" s="302"/>
      <c r="AG165" s="302"/>
    </row>
    <row r="166" spans="1:33" x14ac:dyDescent="0.2">
      <c r="A166" s="772">
        <f>Bonuses!B21</f>
        <v>0</v>
      </c>
      <c r="B166" s="830"/>
      <c r="C166" s="830"/>
      <c r="D166" s="830"/>
      <c r="E166" s="768"/>
      <c r="F166" s="171">
        <f>Bonuses!C21</f>
        <v>0</v>
      </c>
      <c r="G166" s="172">
        <f>Bonuses!D21</f>
        <v>0</v>
      </c>
      <c r="H166" s="34"/>
      <c r="I166" s="767" t="str">
        <f>Bonuses!B39</f>
        <v>Waters of Healing D-5+8  2  1</v>
      </c>
      <c r="J166" s="768"/>
      <c r="K166" s="768"/>
      <c r="L166" s="768"/>
      <c r="M166" s="768"/>
      <c r="N166" s="171">
        <f>Bonuses!C39</f>
        <v>1</v>
      </c>
      <c r="O166" s="172">
        <f>Bonuses!D39</f>
        <v>0</v>
      </c>
      <c r="P166" s="302"/>
      <c r="Q166" s="302"/>
      <c r="R166" s="302"/>
      <c r="S166" s="302"/>
      <c r="T166" s="302"/>
      <c r="U166" s="302"/>
      <c r="V166" s="302"/>
      <c r="W166" s="302"/>
      <c r="X166" s="302"/>
      <c r="Y166" s="302"/>
      <c r="Z166" s="302"/>
      <c r="AA166" s="302"/>
      <c r="AB166" s="302"/>
      <c r="AC166" s="302"/>
      <c r="AD166" s="302"/>
      <c r="AE166" s="302"/>
      <c r="AF166" s="302"/>
      <c r="AG166" s="302"/>
    </row>
    <row r="167" spans="1:33" x14ac:dyDescent="0.2">
      <c r="A167" s="772">
        <f>Bonuses!B22</f>
        <v>0</v>
      </c>
      <c r="B167" s="830"/>
      <c r="C167" s="830"/>
      <c r="D167" s="830"/>
      <c r="E167" s="768"/>
      <c r="F167" s="171">
        <f>Bonuses!C22</f>
        <v>0</v>
      </c>
      <c r="G167" s="172">
        <f>Bonuses!D22</f>
        <v>0</v>
      </c>
      <c r="H167" s="34"/>
      <c r="I167" s="767" t="str">
        <f>Bonuses!B40</f>
        <v>Small Backpack, Leather 20lb capacity</v>
      </c>
      <c r="J167" s="768"/>
      <c r="K167" s="768"/>
      <c r="L167" s="768"/>
      <c r="M167" s="768"/>
      <c r="N167" s="171">
        <f>Bonuses!C40</f>
        <v>0</v>
      </c>
      <c r="O167" s="172">
        <f>Bonuses!D40</f>
        <v>2</v>
      </c>
      <c r="P167" s="302"/>
      <c r="Q167" s="302"/>
      <c r="R167" s="302"/>
      <c r="S167" s="302"/>
      <c r="T167" s="302"/>
      <c r="U167" s="302"/>
      <c r="V167" s="302"/>
      <c r="W167" s="302"/>
      <c r="X167" s="302"/>
      <c r="Y167" s="302"/>
      <c r="Z167" s="302"/>
      <c r="AA167" s="302"/>
      <c r="AB167" s="302"/>
      <c r="AC167" s="302"/>
      <c r="AD167" s="302"/>
      <c r="AE167" s="302"/>
      <c r="AF167" s="302"/>
      <c r="AG167" s="302"/>
    </row>
    <row r="168" spans="1:33" x14ac:dyDescent="0.2">
      <c r="A168" s="772">
        <f>Bonuses!B23</f>
        <v>0</v>
      </c>
      <c r="B168" s="830"/>
      <c r="C168" s="830"/>
      <c r="D168" s="830"/>
      <c r="E168" s="768"/>
      <c r="F168" s="171">
        <f>Bonuses!C23</f>
        <v>0</v>
      </c>
      <c r="G168" s="172">
        <f>Bonuses!D23</f>
        <v>0</v>
      </c>
      <c r="H168" s="34"/>
      <c r="I168" s="767" t="str">
        <f>Bonuses!B41</f>
        <v>50' 1/2" Hemp Rope</v>
      </c>
      <c r="J168" s="768"/>
      <c r="K168" s="768"/>
      <c r="L168" s="768"/>
      <c r="M168" s="768"/>
      <c r="N168" s="171">
        <f>Bonuses!C41</f>
        <v>0</v>
      </c>
      <c r="O168" s="172">
        <f>Bonuses!D41</f>
        <v>3</v>
      </c>
      <c r="P168" s="302"/>
      <c r="Q168" s="302"/>
      <c r="R168" s="302"/>
      <c r="S168" s="302"/>
      <c r="T168" s="302"/>
      <c r="U168" s="302"/>
      <c r="V168" s="302"/>
      <c r="W168" s="302"/>
      <c r="X168" s="302"/>
      <c r="Y168" s="302"/>
      <c r="Z168" s="302"/>
      <c r="AA168" s="302"/>
      <c r="AB168" s="302"/>
      <c r="AC168" s="302"/>
      <c r="AD168" s="302"/>
      <c r="AE168" s="302"/>
      <c r="AF168" s="302"/>
      <c r="AG168" s="302"/>
    </row>
    <row r="169" spans="1:33" x14ac:dyDescent="0.2">
      <c r="A169" s="772">
        <f>Bonuses!B24</f>
        <v>0</v>
      </c>
      <c r="B169" s="830"/>
      <c r="C169" s="830"/>
      <c r="D169" s="830"/>
      <c r="E169" s="768"/>
      <c r="F169" s="171">
        <f>Bonuses!C24</f>
        <v>0</v>
      </c>
      <c r="G169" s="172">
        <f>Bonuses!D24</f>
        <v>0</v>
      </c>
      <c r="H169" s="34"/>
      <c r="I169" s="767" t="str">
        <f>Bonuses!B42</f>
        <v>Light blanket</v>
      </c>
      <c r="J169" s="768"/>
      <c r="K169" s="768"/>
      <c r="L169" s="768"/>
      <c r="M169" s="768"/>
      <c r="N169" s="171">
        <f>Bonuses!C42</f>
        <v>0</v>
      </c>
      <c r="O169" s="172">
        <f>Bonuses!D42</f>
        <v>2</v>
      </c>
      <c r="P169" s="302"/>
      <c r="Q169" s="302"/>
      <c r="R169" s="302"/>
      <c r="S169" s="302"/>
      <c r="T169" s="302"/>
      <c r="U169" s="302"/>
      <c r="V169" s="302"/>
      <c r="W169" s="302"/>
      <c r="X169" s="302"/>
      <c r="Y169" s="302"/>
      <c r="Z169" s="302"/>
      <c r="AA169" s="302"/>
      <c r="AB169" s="302"/>
      <c r="AC169" s="302"/>
      <c r="AD169" s="302"/>
      <c r="AE169" s="302"/>
      <c r="AF169" s="302"/>
      <c r="AG169" s="302"/>
    </row>
    <row r="170" spans="1:33" x14ac:dyDescent="0.2">
      <c r="A170" s="772">
        <f>Bonuses!B25</f>
        <v>0</v>
      </c>
      <c r="B170" s="830"/>
      <c r="C170" s="830"/>
      <c r="D170" s="830"/>
      <c r="E170" s="768"/>
      <c r="F170" s="171">
        <f>Bonuses!C25</f>
        <v>0</v>
      </c>
      <c r="G170" s="172">
        <f>Bonuses!D25</f>
        <v>0</v>
      </c>
      <c r="H170" s="34"/>
      <c r="I170" s="767" t="str">
        <f>Bonuses!B43</f>
        <v>Flint &amp; Steel</v>
      </c>
      <c r="J170" s="768"/>
      <c r="K170" s="768"/>
      <c r="L170" s="768"/>
      <c r="M170" s="768"/>
      <c r="N170" s="171">
        <f>Bonuses!C43</f>
        <v>0</v>
      </c>
      <c r="O170" s="172">
        <f>Bonuses!D43</f>
        <v>0.5</v>
      </c>
      <c r="P170" s="302"/>
      <c r="Q170" s="302"/>
      <c r="R170" s="302"/>
      <c r="S170" s="302"/>
      <c r="T170" s="302"/>
      <c r="U170" s="302"/>
      <c r="V170" s="302"/>
      <c r="W170" s="302"/>
      <c r="X170" s="302"/>
      <c r="Y170" s="302"/>
      <c r="Z170" s="302"/>
      <c r="AA170" s="302"/>
      <c r="AB170" s="302"/>
      <c r="AC170" s="302"/>
      <c r="AD170" s="302"/>
      <c r="AE170" s="302"/>
      <c r="AF170" s="302"/>
      <c r="AG170" s="302"/>
    </row>
    <row r="171" spans="1:33" x14ac:dyDescent="0.2">
      <c r="A171" s="772">
        <f>Bonuses!B26</f>
        <v>0</v>
      </c>
      <c r="B171" s="830"/>
      <c r="C171" s="830"/>
      <c r="D171" s="830"/>
      <c r="E171" s="768"/>
      <c r="F171" s="171">
        <f>Bonuses!C26</f>
        <v>0</v>
      </c>
      <c r="G171" s="172">
        <f>Bonuses!D26</f>
        <v>0</v>
      </c>
      <c r="H171" s="34"/>
      <c r="I171" s="767" t="str">
        <f>Bonuses!B44</f>
        <v>Hand Axe</v>
      </c>
      <c r="J171" s="768"/>
      <c r="K171" s="768"/>
      <c r="L171" s="768"/>
      <c r="M171" s="768"/>
      <c r="N171" s="171">
        <f>Bonuses!C44</f>
        <v>0</v>
      </c>
      <c r="O171" s="172">
        <f>Bonuses!D44</f>
        <v>2</v>
      </c>
      <c r="P171" s="302"/>
      <c r="Q171" s="302"/>
      <c r="R171" s="302"/>
      <c r="S171" s="302"/>
      <c r="T171" s="302"/>
      <c r="U171" s="302"/>
      <c r="V171" s="302"/>
      <c r="W171" s="302"/>
      <c r="X171" s="302"/>
      <c r="Y171" s="302"/>
      <c r="Z171" s="302"/>
      <c r="AA171" s="302"/>
      <c r="AB171" s="302"/>
      <c r="AC171" s="302"/>
      <c r="AD171" s="302"/>
      <c r="AE171" s="302"/>
      <c r="AF171" s="302"/>
      <c r="AG171" s="302"/>
    </row>
    <row r="172" spans="1:33" x14ac:dyDescent="0.2">
      <c r="A172" s="772">
        <f>Bonuses!B27</f>
        <v>0</v>
      </c>
      <c r="B172" s="830"/>
      <c r="C172" s="830"/>
      <c r="D172" s="830"/>
      <c r="E172" s="768"/>
      <c r="F172" s="171">
        <f>Bonuses!C27</f>
        <v>0</v>
      </c>
      <c r="G172" s="172">
        <f>Bonuses!D27</f>
        <v>0</v>
      </c>
      <c r="H172" s="34"/>
      <c r="I172" s="767" t="str">
        <f>Bonuses!B45</f>
        <v>Small fry pan</v>
      </c>
      <c r="J172" s="768"/>
      <c r="K172" s="768"/>
      <c r="L172" s="768"/>
      <c r="M172" s="768"/>
      <c r="N172" s="171">
        <f>Bonuses!C45</f>
        <v>0</v>
      </c>
      <c r="O172" s="172">
        <f>Bonuses!D45</f>
        <v>2</v>
      </c>
      <c r="P172" s="302"/>
      <c r="Q172" s="302"/>
      <c r="R172" s="302"/>
      <c r="S172" s="302"/>
      <c r="T172" s="302"/>
      <c r="U172" s="302"/>
      <c r="V172" s="302"/>
      <c r="W172" s="302"/>
      <c r="X172" s="302"/>
      <c r="Y172" s="302"/>
      <c r="Z172" s="302"/>
      <c r="AA172" s="302"/>
      <c r="AB172" s="302"/>
      <c r="AC172" s="302"/>
      <c r="AD172" s="302"/>
      <c r="AE172" s="302"/>
      <c r="AF172" s="302"/>
      <c r="AG172" s="302"/>
    </row>
    <row r="173" spans="1:33" x14ac:dyDescent="0.2">
      <c r="A173" s="772">
        <f>Bonuses!B28</f>
        <v>0</v>
      </c>
      <c r="B173" s="830"/>
      <c r="C173" s="830"/>
      <c r="D173" s="830"/>
      <c r="E173" s="768"/>
      <c r="F173" s="171">
        <f>Bonuses!C28</f>
        <v>0</v>
      </c>
      <c r="G173" s="172">
        <f>Bonuses!D28</f>
        <v>0</v>
      </c>
      <c r="H173" s="34"/>
      <c r="I173" s="767" t="str">
        <f>Bonuses!B46</f>
        <v>Waterskin, 1 gallon</v>
      </c>
      <c r="J173" s="768"/>
      <c r="K173" s="768"/>
      <c r="L173" s="768"/>
      <c r="M173" s="768"/>
      <c r="N173" s="171">
        <f>Bonuses!C46</f>
        <v>0</v>
      </c>
      <c r="O173" s="172">
        <f>Bonuses!D46</f>
        <v>9</v>
      </c>
      <c r="P173" s="302"/>
      <c r="Q173" s="302"/>
      <c r="R173" s="302"/>
      <c r="S173" s="302"/>
      <c r="T173" s="302"/>
      <c r="U173" s="302"/>
      <c r="V173" s="302"/>
      <c r="W173" s="302"/>
      <c r="X173" s="302"/>
      <c r="Y173" s="302"/>
      <c r="Z173" s="302"/>
      <c r="AA173" s="302"/>
      <c r="AB173" s="302"/>
      <c r="AC173" s="302"/>
      <c r="AD173" s="302"/>
      <c r="AE173" s="302"/>
      <c r="AF173" s="302"/>
      <c r="AG173" s="302"/>
    </row>
    <row r="174" spans="1:33" x14ac:dyDescent="0.2">
      <c r="A174" s="772">
        <f>Bonuses!B29</f>
        <v>0</v>
      </c>
      <c r="B174" s="830"/>
      <c r="C174" s="830"/>
      <c r="D174" s="830"/>
      <c r="E174" s="768"/>
      <c r="F174" s="171">
        <f>Bonuses!C29</f>
        <v>0</v>
      </c>
      <c r="G174" s="172">
        <f>Bonuses!D29</f>
        <v>0</v>
      </c>
      <c r="H174" s="34"/>
      <c r="I174" s="767" t="str">
        <f>Bonuses!B47</f>
        <v>Tallow Candles (1 hr) x 12</v>
      </c>
      <c r="J174" s="768"/>
      <c r="K174" s="768"/>
      <c r="L174" s="768"/>
      <c r="M174" s="768"/>
      <c r="N174" s="171">
        <f>Bonuses!C47</f>
        <v>0</v>
      </c>
      <c r="O174" s="172">
        <f>Bonuses!D47</f>
        <v>2.25</v>
      </c>
      <c r="P174" s="302"/>
      <c r="Q174" s="302"/>
      <c r="R174" s="302"/>
      <c r="S174" s="302"/>
      <c r="T174" s="302"/>
      <c r="U174" s="302"/>
      <c r="V174" s="302"/>
      <c r="W174" s="302"/>
      <c r="X174" s="302"/>
      <c r="Y174" s="302"/>
      <c r="Z174" s="302"/>
      <c r="AA174" s="302"/>
      <c r="AB174" s="302"/>
      <c r="AC174" s="302"/>
      <c r="AD174" s="302"/>
      <c r="AE174" s="302"/>
      <c r="AF174" s="302"/>
      <c r="AG174" s="302"/>
    </row>
    <row r="175" spans="1:33" x14ac:dyDescent="0.2">
      <c r="A175" s="772">
        <f>Bonuses!B30</f>
        <v>0</v>
      </c>
      <c r="B175" s="830"/>
      <c r="C175" s="830"/>
      <c r="D175" s="830"/>
      <c r="E175" s="768"/>
      <c r="F175" s="171">
        <f>Bonuses!C30</f>
        <v>0</v>
      </c>
      <c r="G175" s="172">
        <f>Bonuses!D30</f>
        <v>0</v>
      </c>
      <c r="H175" s="34"/>
      <c r="I175" s="767" t="str">
        <f>Bonuses!B48</f>
        <v>Canvas Tarp</v>
      </c>
      <c r="J175" s="768"/>
      <c r="K175" s="768"/>
      <c r="L175" s="768"/>
      <c r="M175" s="768"/>
      <c r="N175" s="171">
        <f>Bonuses!C48</f>
        <v>0</v>
      </c>
      <c r="O175" s="172">
        <f>Bonuses!D48</f>
        <v>8</v>
      </c>
      <c r="P175" s="302"/>
      <c r="Q175" s="302"/>
      <c r="R175" s="302"/>
      <c r="S175" s="302"/>
      <c r="T175" s="302"/>
      <c r="U175" s="302"/>
      <c r="V175" s="302"/>
      <c r="W175" s="302"/>
      <c r="X175" s="302"/>
      <c r="Y175" s="302"/>
      <c r="Z175" s="302"/>
      <c r="AA175" s="302"/>
      <c r="AB175" s="302"/>
      <c r="AC175" s="302"/>
      <c r="AD175" s="302"/>
      <c r="AE175" s="302"/>
      <c r="AF175" s="302"/>
      <c r="AG175" s="302"/>
    </row>
    <row r="176" spans="1:33" x14ac:dyDescent="0.2">
      <c r="A176" s="772">
        <f>Bonuses!B31</f>
        <v>0</v>
      </c>
      <c r="B176" s="830"/>
      <c r="C176" s="830"/>
      <c r="D176" s="830"/>
      <c r="E176" s="768"/>
      <c r="F176" s="171">
        <f>Bonuses!C31</f>
        <v>0</v>
      </c>
      <c r="G176" s="172">
        <f>Bonuses!D31</f>
        <v>0</v>
      </c>
      <c r="H176" s="34"/>
      <c r="I176" s="767" t="str">
        <f>Bonuses!B49</f>
        <v>Large Sack, 40lb capacity</v>
      </c>
      <c r="J176" s="768"/>
      <c r="K176" s="768"/>
      <c r="L176" s="768"/>
      <c r="M176" s="768"/>
      <c r="N176" s="171">
        <f>Bonuses!C49</f>
        <v>0</v>
      </c>
      <c r="O176" s="172">
        <f>Bonuses!D49</f>
        <v>1</v>
      </c>
      <c r="P176" s="302"/>
      <c r="Q176" s="302"/>
      <c r="R176" s="302"/>
      <c r="S176" s="302"/>
      <c r="T176" s="302"/>
      <c r="U176" s="302"/>
      <c r="V176" s="302"/>
      <c r="W176" s="302"/>
      <c r="X176" s="302"/>
      <c r="Y176" s="302"/>
      <c r="Z176" s="302"/>
      <c r="AA176" s="302"/>
      <c r="AB176" s="302"/>
      <c r="AC176" s="302"/>
      <c r="AD176" s="302"/>
      <c r="AE176" s="302"/>
      <c r="AF176" s="302"/>
      <c r="AG176" s="302"/>
    </row>
    <row r="177" spans="1:33" x14ac:dyDescent="0.2">
      <c r="A177" s="772">
        <f>Bonuses!B32</f>
        <v>0</v>
      </c>
      <c r="B177" s="830"/>
      <c r="C177" s="830"/>
      <c r="D177" s="830"/>
      <c r="E177" s="768"/>
      <c r="F177" s="171">
        <f>Bonuses!C32</f>
        <v>0</v>
      </c>
      <c r="G177" s="172">
        <f>Bonuses!D32</f>
        <v>0</v>
      </c>
      <c r="H177" s="34"/>
      <c r="I177" s="767" t="str">
        <f>Bonuses!B50</f>
        <v>Pair of Walking Boots</v>
      </c>
      <c r="J177" s="768"/>
      <c r="K177" s="768"/>
      <c r="L177" s="768"/>
      <c r="M177" s="768"/>
      <c r="N177" s="171">
        <f>Bonuses!C50</f>
        <v>0</v>
      </c>
      <c r="O177" s="172">
        <f>Bonuses!D50</f>
        <v>0</v>
      </c>
      <c r="P177" s="302"/>
      <c r="Q177" s="302"/>
      <c r="R177" s="302"/>
      <c r="S177" s="302"/>
      <c r="T177" s="302"/>
      <c r="U177" s="302"/>
      <c r="V177" s="302"/>
      <c r="W177" s="302"/>
      <c r="X177" s="302"/>
      <c r="Y177" s="302"/>
      <c r="Z177" s="302"/>
      <c r="AA177" s="302"/>
      <c r="AB177" s="302"/>
      <c r="AC177" s="302"/>
      <c r="AD177" s="302"/>
      <c r="AE177" s="302"/>
      <c r="AF177" s="302"/>
      <c r="AG177" s="302"/>
    </row>
    <row r="178" spans="1:33" x14ac:dyDescent="0.2">
      <c r="A178" s="777">
        <f>Bonuses!B33</f>
        <v>0</v>
      </c>
      <c r="B178" s="831"/>
      <c r="C178" s="831"/>
      <c r="D178" s="831"/>
      <c r="E178" s="774"/>
      <c r="F178" s="173">
        <f>Bonuses!C33</f>
        <v>0</v>
      </c>
      <c r="G178" s="174">
        <f>Bonuses!D33</f>
        <v>0</v>
      </c>
      <c r="H178" s="34"/>
      <c r="I178" s="773" t="str">
        <f>Bonuses!B51</f>
        <v>Pitch torches x 3</v>
      </c>
      <c r="J178" s="774"/>
      <c r="K178" s="774"/>
      <c r="L178" s="774"/>
      <c r="M178" s="774"/>
      <c r="N178" s="173">
        <f>Bonuses!C51</f>
        <v>0</v>
      </c>
      <c r="O178" s="174">
        <f>Bonuses!D51</f>
        <v>3</v>
      </c>
      <c r="P178" s="302"/>
      <c r="Q178" s="302"/>
      <c r="R178" s="302"/>
      <c r="S178" s="302"/>
      <c r="T178" s="302"/>
      <c r="U178" s="302"/>
      <c r="V178" s="302"/>
      <c r="W178" s="302"/>
      <c r="X178" s="302"/>
      <c r="Y178" s="302"/>
      <c r="Z178" s="302"/>
      <c r="AA178" s="302"/>
      <c r="AB178" s="302"/>
      <c r="AC178" s="302"/>
      <c r="AD178" s="302"/>
      <c r="AE178" s="302"/>
      <c r="AF178" s="302"/>
      <c r="AG178" s="302"/>
    </row>
    <row r="179" spans="1:33" x14ac:dyDescent="0.2">
      <c r="I179" s="800" t="str">
        <f ca="1">"With Full Pack: "&amp;ROUND(Bonuses!$C$3+Bonuses!$D$3,0)&amp;"lbs  AG: "&amp;Stats!D11&amp;"  TMR: "&amp;Stats!J11</f>
        <v>With Full Pack: 60lbs  AG: 9  TMR: 4</v>
      </c>
      <c r="J179" s="800"/>
      <c r="K179" s="800"/>
      <c r="L179" s="800"/>
      <c r="M179" s="800"/>
      <c r="N179" s="800"/>
      <c r="O179" s="800"/>
      <c r="P179" s="303"/>
      <c r="Q179" s="303"/>
      <c r="R179" s="303"/>
      <c r="S179" s="303"/>
      <c r="T179" s="303"/>
      <c r="U179" s="303"/>
      <c r="V179" s="303"/>
      <c r="W179" s="303"/>
      <c r="X179" s="303"/>
      <c r="Y179" s="303"/>
      <c r="Z179" s="303"/>
      <c r="AA179" s="303"/>
      <c r="AB179" s="303"/>
      <c r="AC179" s="303"/>
      <c r="AD179" s="303"/>
      <c r="AE179" s="303"/>
      <c r="AF179" s="303"/>
      <c r="AG179" s="303"/>
    </row>
    <row r="181" spans="1:33" ht="14.25" x14ac:dyDescent="0.2">
      <c r="A181" s="383" t="str">
        <f>Setup!$B$1</f>
        <v>Your name</v>
      </c>
      <c r="B181" s="383"/>
      <c r="C181" s="383"/>
      <c r="D181" s="383"/>
      <c r="F181" s="197" t="str">
        <f>Stats!B1</f>
        <v>PS</v>
      </c>
      <c r="G181" s="197" t="str">
        <f>Stats!C1</f>
        <v>MD</v>
      </c>
      <c r="H181" s="197" t="str">
        <f>Stats!D1</f>
        <v>AG</v>
      </c>
      <c r="I181" s="197" t="str">
        <f>Stats!E1</f>
        <v>MA</v>
      </c>
      <c r="J181" s="197" t="str">
        <f>Stats!F1</f>
        <v>WP</v>
      </c>
      <c r="K181" s="197" t="str">
        <f>Stats!G1</f>
        <v>EN</v>
      </c>
      <c r="L181" s="197" t="str">
        <f>Stats!H1</f>
        <v>FT</v>
      </c>
      <c r="M181" s="197" t="str">
        <f>Stats!I1</f>
        <v>PC</v>
      </c>
    </row>
    <row r="182" spans="1:33" ht="14.25" x14ac:dyDescent="0.2">
      <c r="A182" s="7" t="s">
        <v>321</v>
      </c>
      <c r="B182" s="7"/>
      <c r="C182" s="7"/>
      <c r="D182" s="7"/>
      <c r="F182" s="99">
        <f>Stats!B2</f>
        <v>15</v>
      </c>
      <c r="G182" s="99">
        <f>Stats!C2</f>
        <v>15</v>
      </c>
      <c r="H182" s="99">
        <f>Stats!D2</f>
        <v>15</v>
      </c>
      <c r="I182" s="99">
        <f>Stats!E2</f>
        <v>15</v>
      </c>
      <c r="J182" s="99">
        <f>Stats!F2</f>
        <v>15</v>
      </c>
      <c r="K182" s="99">
        <f>Stats!G2</f>
        <v>15</v>
      </c>
      <c r="L182" s="99">
        <f>Stats!H2</f>
        <v>20</v>
      </c>
      <c r="M182" s="99">
        <f>Stats!I2</f>
        <v>5</v>
      </c>
    </row>
  </sheetData>
  <mergeCells count="248">
    <mergeCell ref="I179:O179"/>
    <mergeCell ref="AC8:AE8"/>
    <mergeCell ref="A176:E176"/>
    <mergeCell ref="I176:M176"/>
    <mergeCell ref="A177:E177"/>
    <mergeCell ref="I177:M177"/>
    <mergeCell ref="A173:E173"/>
    <mergeCell ref="I173:M173"/>
    <mergeCell ref="A170:E170"/>
    <mergeCell ref="I170:M170"/>
    <mergeCell ref="A175:E175"/>
    <mergeCell ref="I175:M175"/>
    <mergeCell ref="A174:E174"/>
    <mergeCell ref="I174:M174"/>
    <mergeCell ref="A163:E163"/>
    <mergeCell ref="I163:M163"/>
    <mergeCell ref="A164:E164"/>
    <mergeCell ref="I164:M164"/>
    <mergeCell ref="A166:E166"/>
    <mergeCell ref="I166:M166"/>
    <mergeCell ref="A178:E178"/>
    <mergeCell ref="I178:M178"/>
    <mergeCell ref="A169:E169"/>
    <mergeCell ref="I169:M169"/>
    <mergeCell ref="A161:E161"/>
    <mergeCell ref="I161:M161"/>
    <mergeCell ref="G149:O149"/>
    <mergeCell ref="G150:O150"/>
    <mergeCell ref="G151:O151"/>
    <mergeCell ref="G152:O152"/>
    <mergeCell ref="A167:E167"/>
    <mergeCell ref="I167:M167"/>
    <mergeCell ref="A172:E172"/>
    <mergeCell ref="I172:M172"/>
    <mergeCell ref="A168:E168"/>
    <mergeCell ref="I168:M168"/>
    <mergeCell ref="A171:E171"/>
    <mergeCell ref="I171:M171"/>
    <mergeCell ref="G153:O153"/>
    <mergeCell ref="G154:O154"/>
    <mergeCell ref="A165:E165"/>
    <mergeCell ref="I165:M165"/>
    <mergeCell ref="G155:O155"/>
    <mergeCell ref="G156:O156"/>
    <mergeCell ref="G157:O157"/>
    <mergeCell ref="A159:M159"/>
    <mergeCell ref="A162:E162"/>
    <mergeCell ref="I162:M162"/>
    <mergeCell ref="G147:O147"/>
    <mergeCell ref="G148:O148"/>
    <mergeCell ref="G137:O137"/>
    <mergeCell ref="G138:O138"/>
    <mergeCell ref="G139:O139"/>
    <mergeCell ref="G140:O140"/>
    <mergeCell ref="G141:O141"/>
    <mergeCell ref="G142:O142"/>
    <mergeCell ref="G136:O136"/>
    <mergeCell ref="G143:O143"/>
    <mergeCell ref="G144:O144"/>
    <mergeCell ref="G145:O145"/>
    <mergeCell ref="G146:O146"/>
    <mergeCell ref="G121:O121"/>
    <mergeCell ref="G122:O122"/>
    <mergeCell ref="G123:O123"/>
    <mergeCell ref="G124:O124"/>
    <mergeCell ref="G131:O131"/>
    <mergeCell ref="G132:O132"/>
    <mergeCell ref="G118:O118"/>
    <mergeCell ref="G135:O135"/>
    <mergeCell ref="G125:O125"/>
    <mergeCell ref="G126:O126"/>
    <mergeCell ref="G127:O127"/>
    <mergeCell ref="G128:O128"/>
    <mergeCell ref="G129:O129"/>
    <mergeCell ref="G130:O130"/>
    <mergeCell ref="G119:O119"/>
    <mergeCell ref="G120:O120"/>
    <mergeCell ref="G133:O133"/>
    <mergeCell ref="G134:O134"/>
    <mergeCell ref="G108:O108"/>
    <mergeCell ref="G109:O109"/>
    <mergeCell ref="G110:O110"/>
    <mergeCell ref="G111:O111"/>
    <mergeCell ref="G114:O114"/>
    <mergeCell ref="G115:O115"/>
    <mergeCell ref="G116:O116"/>
    <mergeCell ref="G117:O117"/>
    <mergeCell ref="G98:O98"/>
    <mergeCell ref="G99:O99"/>
    <mergeCell ref="G112:O112"/>
    <mergeCell ref="G113:O113"/>
    <mergeCell ref="G102:O102"/>
    <mergeCell ref="G103:O103"/>
    <mergeCell ref="G104:O104"/>
    <mergeCell ref="G105:O105"/>
    <mergeCell ref="G106:O106"/>
    <mergeCell ref="G107:O107"/>
    <mergeCell ref="G100:O100"/>
    <mergeCell ref="G101:O101"/>
    <mergeCell ref="G90:O90"/>
    <mergeCell ref="G91:O91"/>
    <mergeCell ref="G92:O92"/>
    <mergeCell ref="G93:O93"/>
    <mergeCell ref="G94:O94"/>
    <mergeCell ref="G95:O95"/>
    <mergeCell ref="G96:O96"/>
    <mergeCell ref="G97:O97"/>
    <mergeCell ref="G89:O89"/>
    <mergeCell ref="G88:O88"/>
    <mergeCell ref="G87:O87"/>
    <mergeCell ref="G74:O74"/>
    <mergeCell ref="G75:O75"/>
    <mergeCell ref="G76:O76"/>
    <mergeCell ref="G77:O77"/>
    <mergeCell ref="G78:O78"/>
    <mergeCell ref="G79:O79"/>
    <mergeCell ref="G80:O80"/>
    <mergeCell ref="G81:O81"/>
    <mergeCell ref="G82:O82"/>
    <mergeCell ref="G83:O83"/>
    <mergeCell ref="G84:O84"/>
    <mergeCell ref="G85:O85"/>
    <mergeCell ref="G86:O86"/>
    <mergeCell ref="I64:J64"/>
    <mergeCell ref="K64:L64"/>
    <mergeCell ref="M64:O64"/>
    <mergeCell ref="M66:O66"/>
    <mergeCell ref="G72:O72"/>
    <mergeCell ref="G73:O73"/>
    <mergeCell ref="I65:J65"/>
    <mergeCell ref="K65:L65"/>
    <mergeCell ref="M65:O65"/>
    <mergeCell ref="I66:J66"/>
    <mergeCell ref="K66:L66"/>
    <mergeCell ref="G69:O69"/>
    <mergeCell ref="G70:O70"/>
    <mergeCell ref="G71:O71"/>
    <mergeCell ref="I67:J67"/>
    <mergeCell ref="K67:L67"/>
    <mergeCell ref="M67:O67"/>
    <mergeCell ref="I62:J62"/>
    <mergeCell ref="K62:L62"/>
    <mergeCell ref="M62:O62"/>
    <mergeCell ref="I63:J63"/>
    <mergeCell ref="K63:L63"/>
    <mergeCell ref="M63:O63"/>
    <mergeCell ref="I60:J60"/>
    <mergeCell ref="K60:L60"/>
    <mergeCell ref="M60:O60"/>
    <mergeCell ref="I61:J61"/>
    <mergeCell ref="K61:L61"/>
    <mergeCell ref="M61:O61"/>
    <mergeCell ref="I58:J58"/>
    <mergeCell ref="K58:L58"/>
    <mergeCell ref="M58:O58"/>
    <mergeCell ref="I59:J59"/>
    <mergeCell ref="K59:L59"/>
    <mergeCell ref="M59:O59"/>
    <mergeCell ref="I56:J56"/>
    <mergeCell ref="K56:L56"/>
    <mergeCell ref="M56:O56"/>
    <mergeCell ref="I57:J57"/>
    <mergeCell ref="K57:L57"/>
    <mergeCell ref="M57:O57"/>
    <mergeCell ref="I54:J54"/>
    <mergeCell ref="K54:L54"/>
    <mergeCell ref="M54:O54"/>
    <mergeCell ref="I55:J55"/>
    <mergeCell ref="K55:L55"/>
    <mergeCell ref="M55:O55"/>
    <mergeCell ref="I52:J52"/>
    <mergeCell ref="K52:L52"/>
    <mergeCell ref="M52:O52"/>
    <mergeCell ref="I53:J53"/>
    <mergeCell ref="K53:L53"/>
    <mergeCell ref="M53:O53"/>
    <mergeCell ref="I50:J50"/>
    <mergeCell ref="K50:L50"/>
    <mergeCell ref="M50:O50"/>
    <mergeCell ref="I51:J51"/>
    <mergeCell ref="K51:L51"/>
    <mergeCell ref="M51:O51"/>
    <mergeCell ref="I48:J48"/>
    <mergeCell ref="K48:L48"/>
    <mergeCell ref="M48:O48"/>
    <mergeCell ref="I49:J49"/>
    <mergeCell ref="K49:L49"/>
    <mergeCell ref="M49:O49"/>
    <mergeCell ref="I46:J46"/>
    <mergeCell ref="K46:L46"/>
    <mergeCell ref="M46:O46"/>
    <mergeCell ref="I47:J47"/>
    <mergeCell ref="K47:L47"/>
    <mergeCell ref="M47:O47"/>
    <mergeCell ref="I44:J44"/>
    <mergeCell ref="K44:L44"/>
    <mergeCell ref="M44:O44"/>
    <mergeCell ref="I45:J45"/>
    <mergeCell ref="K45:L45"/>
    <mergeCell ref="M45:O45"/>
    <mergeCell ref="I42:J42"/>
    <mergeCell ref="K42:L42"/>
    <mergeCell ref="M42:O42"/>
    <mergeCell ref="I43:J43"/>
    <mergeCell ref="K43:L43"/>
    <mergeCell ref="M43:O43"/>
    <mergeCell ref="I40:J40"/>
    <mergeCell ref="K40:L40"/>
    <mergeCell ref="M40:O40"/>
    <mergeCell ref="I41:J41"/>
    <mergeCell ref="K41:L41"/>
    <mergeCell ref="M41:O41"/>
    <mergeCell ref="I38:J38"/>
    <mergeCell ref="K38:L38"/>
    <mergeCell ref="M38:O38"/>
    <mergeCell ref="I39:J39"/>
    <mergeCell ref="K39:L39"/>
    <mergeCell ref="M39:O39"/>
    <mergeCell ref="I36:J36"/>
    <mergeCell ref="K36:L36"/>
    <mergeCell ref="M36:O36"/>
    <mergeCell ref="I37:J37"/>
    <mergeCell ref="K37:L37"/>
    <mergeCell ref="M37:O37"/>
    <mergeCell ref="I35:J35"/>
    <mergeCell ref="K35:L35"/>
    <mergeCell ref="M35:O35"/>
    <mergeCell ref="I32:J32"/>
    <mergeCell ref="K32:L32"/>
    <mergeCell ref="M32:O32"/>
    <mergeCell ref="I33:J33"/>
    <mergeCell ref="K33:L33"/>
    <mergeCell ref="M33:O33"/>
    <mergeCell ref="I31:J31"/>
    <mergeCell ref="K31:L31"/>
    <mergeCell ref="M31:O31"/>
    <mergeCell ref="AY2:AY8"/>
    <mergeCell ref="F12:G12"/>
    <mergeCell ref="I30:J30"/>
    <mergeCell ref="K30:L30"/>
    <mergeCell ref="M30:O30"/>
    <mergeCell ref="I34:J34"/>
    <mergeCell ref="K34:L34"/>
    <mergeCell ref="M34:O34"/>
    <mergeCell ref="AC9:AE9"/>
    <mergeCell ref="J12:K12"/>
    <mergeCell ref="I29:J29"/>
    <mergeCell ref="K29:L29"/>
  </mergeCells>
  <phoneticPr fontId="3" type="noConversion"/>
  <conditionalFormatting sqref="L14:N27">
    <cfRule type="cellIs" dxfId="4" priority="7" stopIfTrue="1" operator="notEqual">
      <formula>""</formula>
    </cfRule>
  </conditionalFormatting>
  <conditionalFormatting sqref="J14:K27">
    <cfRule type="cellIs" dxfId="3" priority="6" stopIfTrue="1" operator="notEqual">
      <formula>""</formula>
    </cfRule>
  </conditionalFormatting>
  <conditionalFormatting sqref="F14:G27">
    <cfRule type="cellIs" dxfId="2" priority="5" stopIfTrue="1" operator="notEqual">
      <formula>""</formula>
    </cfRule>
  </conditionalFormatting>
  <conditionalFormatting sqref="AH4:AI4">
    <cfRule type="cellIs" dxfId="1" priority="16" stopIfTrue="1" operator="greaterThan">
      <formula>$AG$8*-1+EN</formula>
    </cfRule>
    <cfRule type="cellIs" dxfId="0" priority="17" stopIfTrue="1" operator="greaterThanOrEqual">
      <formula>EN</formula>
    </cfRule>
  </conditionalFormatting>
  <pageMargins left="0.39370078740157483" right="0.39370078740157483" top="0.39370078740157483" bottom="0.39370078740157483" header="0.39370078740157483" footer="0.39370078740157483"/>
  <pageSetup paperSize="9" fitToHeight="2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3">
    <tabColor indexed="22"/>
  </sheetPr>
  <dimension ref="A1:BC106"/>
  <sheetViews>
    <sheetView topLeftCell="A85" workbookViewId="0">
      <selection activeCell="E105" sqref="E105:M106"/>
    </sheetView>
  </sheetViews>
  <sheetFormatPr defaultRowHeight="12.75" x14ac:dyDescent="0.2"/>
  <cols>
    <col min="1" max="1" width="10.85546875" style="1" customWidth="1"/>
    <col min="2" max="2" width="5.42578125" style="1" customWidth="1"/>
    <col min="3" max="3" width="3.28515625" customWidth="1"/>
    <col min="5" max="55" width="3.7109375" customWidth="1"/>
  </cols>
  <sheetData>
    <row r="1" spans="1:55" x14ac:dyDescent="0.2">
      <c r="A1" s="9" t="s">
        <v>135</v>
      </c>
      <c r="B1" s="10"/>
      <c r="D1" s="9" t="s">
        <v>136</v>
      </c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2"/>
    </row>
    <row r="2" spans="1:55" x14ac:dyDescent="0.2">
      <c r="A2" s="13" t="s">
        <v>111</v>
      </c>
      <c r="B2" s="14" t="s">
        <v>123</v>
      </c>
      <c r="D2" s="15" t="s">
        <v>109</v>
      </c>
      <c r="E2" s="16">
        <v>0</v>
      </c>
      <c r="F2" s="16">
        <v>5</v>
      </c>
      <c r="G2" s="16">
        <v>9</v>
      </c>
      <c r="H2" s="16">
        <v>13</v>
      </c>
      <c r="I2" s="16">
        <v>18</v>
      </c>
      <c r="J2" s="16">
        <v>22</v>
      </c>
      <c r="K2" s="16">
        <v>25</v>
      </c>
      <c r="L2" s="16">
        <v>30</v>
      </c>
      <c r="M2" s="16">
        <v>35</v>
      </c>
      <c r="N2" s="16">
        <v>38</v>
      </c>
      <c r="O2" s="16">
        <v>40</v>
      </c>
      <c r="P2" s="16">
        <v>45</v>
      </c>
      <c r="Q2" s="16">
        <v>50</v>
      </c>
      <c r="R2" s="16">
        <v>55</v>
      </c>
      <c r="S2" s="16">
        <v>60</v>
      </c>
      <c r="T2" s="16">
        <v>65</v>
      </c>
      <c r="U2" s="16">
        <v>68</v>
      </c>
      <c r="V2" s="16">
        <v>70</v>
      </c>
      <c r="W2" s="16">
        <v>75</v>
      </c>
      <c r="X2" s="16">
        <v>80</v>
      </c>
      <c r="Y2" s="16">
        <v>85</v>
      </c>
      <c r="Z2" s="16">
        <v>90</v>
      </c>
      <c r="AA2" s="16">
        <v>95</v>
      </c>
      <c r="AB2" s="16">
        <v>100</v>
      </c>
      <c r="AC2" s="16">
        <v>105</v>
      </c>
      <c r="AD2" s="16">
        <v>110</v>
      </c>
      <c r="AE2" s="16">
        <v>113</v>
      </c>
      <c r="AF2" s="16">
        <v>120</v>
      </c>
      <c r="AG2" s="16">
        <v>125</v>
      </c>
      <c r="AH2" s="16">
        <v>135</v>
      </c>
      <c r="AI2" s="16">
        <v>140</v>
      </c>
      <c r="AJ2" s="16">
        <v>150</v>
      </c>
      <c r="AK2" s="16">
        <v>160</v>
      </c>
      <c r="AL2" s="16">
        <v>165</v>
      </c>
      <c r="AM2" s="16">
        <v>170</v>
      </c>
      <c r="AN2" s="16">
        <v>180</v>
      </c>
      <c r="AO2" s="16">
        <v>185</v>
      </c>
      <c r="AP2" s="16">
        <v>200</v>
      </c>
      <c r="AQ2" s="16">
        <v>205</v>
      </c>
      <c r="AR2" s="16">
        <v>208</v>
      </c>
      <c r="AS2" s="16">
        <v>220</v>
      </c>
      <c r="AT2" s="16">
        <v>225</v>
      </c>
      <c r="AU2" s="16">
        <v>230</v>
      </c>
      <c r="AV2" s="16">
        <v>245</v>
      </c>
      <c r="AW2" s="16">
        <v>248</v>
      </c>
      <c r="AX2" s="16">
        <v>250</v>
      </c>
      <c r="AY2" s="16">
        <v>268</v>
      </c>
      <c r="AZ2" s="16">
        <v>275</v>
      </c>
      <c r="BA2" s="16">
        <v>280</v>
      </c>
      <c r="BB2" s="16">
        <v>308</v>
      </c>
      <c r="BC2" s="17">
        <v>325</v>
      </c>
    </row>
    <row r="3" spans="1:55" x14ac:dyDescent="0.2">
      <c r="A3" s="18">
        <v>1</v>
      </c>
      <c r="B3" s="19">
        <v>1</v>
      </c>
      <c r="D3" s="20">
        <v>1</v>
      </c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2"/>
    </row>
    <row r="4" spans="1:55" x14ac:dyDescent="0.2">
      <c r="A4" s="18">
        <f t="shared" ref="A4:A35" si="0">A3 +1</f>
        <v>2</v>
      </c>
      <c r="B4" s="19">
        <v>1</v>
      </c>
      <c r="D4" s="18">
        <f t="shared" ref="D4:D35" si="1">D3 +1</f>
        <v>2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2"/>
    </row>
    <row r="5" spans="1:55" x14ac:dyDescent="0.2">
      <c r="A5" s="23">
        <f t="shared" si="0"/>
        <v>3</v>
      </c>
      <c r="B5" s="19">
        <v>2</v>
      </c>
      <c r="D5" s="20">
        <f t="shared" si="1"/>
        <v>3</v>
      </c>
      <c r="E5" s="21">
        <v>0</v>
      </c>
      <c r="F5" s="21">
        <v>3</v>
      </c>
      <c r="G5" s="21">
        <v>5</v>
      </c>
      <c r="H5" s="21">
        <v>5</v>
      </c>
      <c r="I5" s="21">
        <v>5</v>
      </c>
      <c r="J5" s="21">
        <v>7</v>
      </c>
      <c r="K5" s="21">
        <v>7</v>
      </c>
      <c r="L5" s="21">
        <v>9</v>
      </c>
      <c r="M5" s="21">
        <v>9</v>
      </c>
      <c r="N5" s="21">
        <v>10</v>
      </c>
      <c r="O5" s="21">
        <v>10</v>
      </c>
      <c r="P5" s="21">
        <v>12</v>
      </c>
      <c r="Q5" s="21">
        <v>12</v>
      </c>
      <c r="R5" s="24">
        <v>30</v>
      </c>
      <c r="S5" s="24">
        <f t="shared" ref="S5:BC5" si="2">R5</f>
        <v>30</v>
      </c>
      <c r="T5" s="24">
        <f t="shared" si="2"/>
        <v>30</v>
      </c>
      <c r="U5" s="24">
        <f t="shared" si="2"/>
        <v>30</v>
      </c>
      <c r="V5" s="24">
        <f t="shared" si="2"/>
        <v>30</v>
      </c>
      <c r="W5" s="24">
        <f t="shared" si="2"/>
        <v>30</v>
      </c>
      <c r="X5" s="24">
        <f t="shared" si="2"/>
        <v>30</v>
      </c>
      <c r="Y5" s="24">
        <f t="shared" si="2"/>
        <v>30</v>
      </c>
      <c r="Z5" s="24">
        <f t="shared" si="2"/>
        <v>30</v>
      </c>
      <c r="AA5" s="24">
        <f t="shared" si="2"/>
        <v>30</v>
      </c>
      <c r="AB5" s="24">
        <f t="shared" si="2"/>
        <v>30</v>
      </c>
      <c r="AC5" s="24">
        <f t="shared" si="2"/>
        <v>30</v>
      </c>
      <c r="AD5" s="24">
        <f t="shared" si="2"/>
        <v>30</v>
      </c>
      <c r="AE5" s="24">
        <f t="shared" si="2"/>
        <v>30</v>
      </c>
      <c r="AF5" s="24">
        <f t="shared" si="2"/>
        <v>30</v>
      </c>
      <c r="AG5" s="24">
        <f t="shared" si="2"/>
        <v>30</v>
      </c>
      <c r="AH5" s="24">
        <f t="shared" si="2"/>
        <v>30</v>
      </c>
      <c r="AI5" s="24">
        <f t="shared" si="2"/>
        <v>30</v>
      </c>
      <c r="AJ5" s="24">
        <f t="shared" si="2"/>
        <v>30</v>
      </c>
      <c r="AK5" s="24">
        <f t="shared" si="2"/>
        <v>30</v>
      </c>
      <c r="AL5" s="24">
        <f t="shared" si="2"/>
        <v>30</v>
      </c>
      <c r="AM5" s="24">
        <f t="shared" si="2"/>
        <v>30</v>
      </c>
      <c r="AN5" s="24">
        <f t="shared" si="2"/>
        <v>30</v>
      </c>
      <c r="AO5" s="24">
        <f t="shared" si="2"/>
        <v>30</v>
      </c>
      <c r="AP5" s="24">
        <f t="shared" si="2"/>
        <v>30</v>
      </c>
      <c r="AQ5" s="24">
        <f t="shared" si="2"/>
        <v>30</v>
      </c>
      <c r="AR5" s="24">
        <f t="shared" si="2"/>
        <v>30</v>
      </c>
      <c r="AS5" s="24">
        <f t="shared" si="2"/>
        <v>30</v>
      </c>
      <c r="AT5" s="24">
        <f t="shared" si="2"/>
        <v>30</v>
      </c>
      <c r="AU5" s="24">
        <f t="shared" si="2"/>
        <v>30</v>
      </c>
      <c r="AV5" s="24">
        <f t="shared" si="2"/>
        <v>30</v>
      </c>
      <c r="AW5" s="24">
        <f t="shared" si="2"/>
        <v>30</v>
      </c>
      <c r="AX5" s="24">
        <f t="shared" si="2"/>
        <v>30</v>
      </c>
      <c r="AY5" s="24">
        <f t="shared" si="2"/>
        <v>30</v>
      </c>
      <c r="AZ5" s="24">
        <f t="shared" si="2"/>
        <v>30</v>
      </c>
      <c r="BA5" s="24">
        <f t="shared" si="2"/>
        <v>30</v>
      </c>
      <c r="BB5" s="24">
        <f t="shared" si="2"/>
        <v>30</v>
      </c>
      <c r="BC5" s="25">
        <f t="shared" si="2"/>
        <v>30</v>
      </c>
    </row>
    <row r="6" spans="1:55" x14ac:dyDescent="0.2">
      <c r="A6" s="18">
        <f t="shared" si="0"/>
        <v>4</v>
      </c>
      <c r="B6" s="19">
        <v>2</v>
      </c>
      <c r="D6" s="20">
        <f t="shared" si="1"/>
        <v>4</v>
      </c>
      <c r="E6" s="21">
        <f t="shared" ref="E6:N7" si="3">E5</f>
        <v>0</v>
      </c>
      <c r="F6" s="21">
        <f t="shared" si="3"/>
        <v>3</v>
      </c>
      <c r="G6" s="21">
        <f t="shared" si="3"/>
        <v>5</v>
      </c>
      <c r="H6" s="21">
        <f t="shared" si="3"/>
        <v>5</v>
      </c>
      <c r="I6" s="21">
        <f t="shared" si="3"/>
        <v>5</v>
      </c>
      <c r="J6" s="21">
        <f t="shared" si="3"/>
        <v>7</v>
      </c>
      <c r="K6" s="21">
        <f t="shared" si="3"/>
        <v>7</v>
      </c>
      <c r="L6" s="21">
        <f t="shared" si="3"/>
        <v>9</v>
      </c>
      <c r="M6" s="21">
        <f t="shared" si="3"/>
        <v>9</v>
      </c>
      <c r="N6" s="21">
        <f t="shared" si="3"/>
        <v>10</v>
      </c>
      <c r="O6" s="21">
        <f t="shared" ref="O6:X7" si="4">O5</f>
        <v>10</v>
      </c>
      <c r="P6" s="21">
        <f t="shared" si="4"/>
        <v>12</v>
      </c>
      <c r="Q6" s="21">
        <f t="shared" si="4"/>
        <v>12</v>
      </c>
      <c r="R6" s="24">
        <f t="shared" si="4"/>
        <v>30</v>
      </c>
      <c r="S6" s="24">
        <f t="shared" si="4"/>
        <v>30</v>
      </c>
      <c r="T6" s="24">
        <f t="shared" si="4"/>
        <v>30</v>
      </c>
      <c r="U6" s="24">
        <f t="shared" si="4"/>
        <v>30</v>
      </c>
      <c r="V6" s="24">
        <f t="shared" si="4"/>
        <v>30</v>
      </c>
      <c r="W6" s="24">
        <f t="shared" si="4"/>
        <v>30</v>
      </c>
      <c r="X6" s="24">
        <f t="shared" si="4"/>
        <v>30</v>
      </c>
      <c r="Y6" s="24">
        <f t="shared" ref="Y6:AH7" si="5">Y5</f>
        <v>30</v>
      </c>
      <c r="Z6" s="24">
        <f t="shared" si="5"/>
        <v>30</v>
      </c>
      <c r="AA6" s="24">
        <f t="shared" si="5"/>
        <v>30</v>
      </c>
      <c r="AB6" s="24">
        <f t="shared" si="5"/>
        <v>30</v>
      </c>
      <c r="AC6" s="24">
        <f t="shared" si="5"/>
        <v>30</v>
      </c>
      <c r="AD6" s="24">
        <f t="shared" si="5"/>
        <v>30</v>
      </c>
      <c r="AE6" s="24">
        <f t="shared" si="5"/>
        <v>30</v>
      </c>
      <c r="AF6" s="24">
        <f t="shared" si="5"/>
        <v>30</v>
      </c>
      <c r="AG6" s="24">
        <f t="shared" si="5"/>
        <v>30</v>
      </c>
      <c r="AH6" s="24">
        <f t="shared" si="5"/>
        <v>30</v>
      </c>
      <c r="AI6" s="24">
        <f t="shared" ref="AI6:AR7" si="6">AI5</f>
        <v>30</v>
      </c>
      <c r="AJ6" s="24">
        <f t="shared" si="6"/>
        <v>30</v>
      </c>
      <c r="AK6" s="24">
        <f t="shared" si="6"/>
        <v>30</v>
      </c>
      <c r="AL6" s="24">
        <f t="shared" si="6"/>
        <v>30</v>
      </c>
      <c r="AM6" s="24">
        <f t="shared" si="6"/>
        <v>30</v>
      </c>
      <c r="AN6" s="24">
        <f t="shared" si="6"/>
        <v>30</v>
      </c>
      <c r="AO6" s="24">
        <f t="shared" si="6"/>
        <v>30</v>
      </c>
      <c r="AP6" s="24">
        <f t="shared" si="6"/>
        <v>30</v>
      </c>
      <c r="AQ6" s="24">
        <f t="shared" si="6"/>
        <v>30</v>
      </c>
      <c r="AR6" s="24">
        <f t="shared" si="6"/>
        <v>30</v>
      </c>
      <c r="AS6" s="24">
        <f t="shared" ref="AS6:BB7" si="7">AS5</f>
        <v>30</v>
      </c>
      <c r="AT6" s="24">
        <f t="shared" si="7"/>
        <v>30</v>
      </c>
      <c r="AU6" s="24">
        <f t="shared" si="7"/>
        <v>30</v>
      </c>
      <c r="AV6" s="24">
        <f t="shared" si="7"/>
        <v>30</v>
      </c>
      <c r="AW6" s="24">
        <f t="shared" si="7"/>
        <v>30</v>
      </c>
      <c r="AX6" s="24">
        <f t="shared" si="7"/>
        <v>30</v>
      </c>
      <c r="AY6" s="24">
        <f t="shared" si="7"/>
        <v>30</v>
      </c>
      <c r="AZ6" s="24">
        <f t="shared" si="7"/>
        <v>30</v>
      </c>
      <c r="BA6" s="24">
        <f t="shared" si="7"/>
        <v>30</v>
      </c>
      <c r="BB6" s="24">
        <f t="shared" si="7"/>
        <v>30</v>
      </c>
      <c r="BC6" s="25">
        <f>BC5</f>
        <v>30</v>
      </c>
    </row>
    <row r="7" spans="1:55" x14ac:dyDescent="0.2">
      <c r="A7" s="23">
        <f t="shared" si="0"/>
        <v>5</v>
      </c>
      <c r="B7" s="19">
        <v>3</v>
      </c>
      <c r="D7" s="20">
        <f t="shared" si="1"/>
        <v>5</v>
      </c>
      <c r="E7" s="21">
        <f t="shared" si="3"/>
        <v>0</v>
      </c>
      <c r="F7" s="21">
        <f t="shared" si="3"/>
        <v>3</v>
      </c>
      <c r="G7" s="21">
        <f t="shared" si="3"/>
        <v>5</v>
      </c>
      <c r="H7" s="21">
        <f t="shared" si="3"/>
        <v>5</v>
      </c>
      <c r="I7" s="21">
        <f t="shared" si="3"/>
        <v>5</v>
      </c>
      <c r="J7" s="21">
        <f t="shared" si="3"/>
        <v>7</v>
      </c>
      <c r="K7" s="21">
        <f t="shared" si="3"/>
        <v>7</v>
      </c>
      <c r="L7" s="21">
        <f t="shared" si="3"/>
        <v>9</v>
      </c>
      <c r="M7" s="21">
        <f t="shared" si="3"/>
        <v>9</v>
      </c>
      <c r="N7" s="21">
        <f t="shared" si="3"/>
        <v>10</v>
      </c>
      <c r="O7" s="21">
        <f t="shared" si="4"/>
        <v>10</v>
      </c>
      <c r="P7" s="21">
        <f t="shared" si="4"/>
        <v>12</v>
      </c>
      <c r="Q7" s="21">
        <f t="shared" si="4"/>
        <v>12</v>
      </c>
      <c r="R7" s="24">
        <f t="shared" si="4"/>
        <v>30</v>
      </c>
      <c r="S7" s="24">
        <f t="shared" si="4"/>
        <v>30</v>
      </c>
      <c r="T7" s="24">
        <f t="shared" si="4"/>
        <v>30</v>
      </c>
      <c r="U7" s="24">
        <f t="shared" si="4"/>
        <v>30</v>
      </c>
      <c r="V7" s="24">
        <f t="shared" si="4"/>
        <v>30</v>
      </c>
      <c r="W7" s="24">
        <f t="shared" si="4"/>
        <v>30</v>
      </c>
      <c r="X7" s="24">
        <f t="shared" si="4"/>
        <v>30</v>
      </c>
      <c r="Y7" s="24">
        <f t="shared" si="5"/>
        <v>30</v>
      </c>
      <c r="Z7" s="24">
        <f t="shared" si="5"/>
        <v>30</v>
      </c>
      <c r="AA7" s="24">
        <f t="shared" si="5"/>
        <v>30</v>
      </c>
      <c r="AB7" s="24">
        <f t="shared" si="5"/>
        <v>30</v>
      </c>
      <c r="AC7" s="24">
        <f t="shared" si="5"/>
        <v>30</v>
      </c>
      <c r="AD7" s="24">
        <f t="shared" si="5"/>
        <v>30</v>
      </c>
      <c r="AE7" s="24">
        <f t="shared" si="5"/>
        <v>30</v>
      </c>
      <c r="AF7" s="24">
        <f t="shared" si="5"/>
        <v>30</v>
      </c>
      <c r="AG7" s="24">
        <f t="shared" si="5"/>
        <v>30</v>
      </c>
      <c r="AH7" s="24">
        <f t="shared" si="5"/>
        <v>30</v>
      </c>
      <c r="AI7" s="24">
        <f t="shared" si="6"/>
        <v>30</v>
      </c>
      <c r="AJ7" s="24">
        <f t="shared" si="6"/>
        <v>30</v>
      </c>
      <c r="AK7" s="24">
        <f t="shared" si="6"/>
        <v>30</v>
      </c>
      <c r="AL7" s="24">
        <f t="shared" si="6"/>
        <v>30</v>
      </c>
      <c r="AM7" s="24">
        <f t="shared" si="6"/>
        <v>30</v>
      </c>
      <c r="AN7" s="24">
        <f t="shared" si="6"/>
        <v>30</v>
      </c>
      <c r="AO7" s="24">
        <f t="shared" si="6"/>
        <v>30</v>
      </c>
      <c r="AP7" s="24">
        <f t="shared" si="6"/>
        <v>30</v>
      </c>
      <c r="AQ7" s="24">
        <f t="shared" si="6"/>
        <v>30</v>
      </c>
      <c r="AR7" s="24">
        <f t="shared" si="6"/>
        <v>30</v>
      </c>
      <c r="AS7" s="24">
        <f t="shared" si="7"/>
        <v>30</v>
      </c>
      <c r="AT7" s="24">
        <f t="shared" si="7"/>
        <v>30</v>
      </c>
      <c r="AU7" s="24">
        <f t="shared" si="7"/>
        <v>30</v>
      </c>
      <c r="AV7" s="24">
        <f t="shared" si="7"/>
        <v>30</v>
      </c>
      <c r="AW7" s="24">
        <f t="shared" si="7"/>
        <v>30</v>
      </c>
      <c r="AX7" s="24">
        <f t="shared" si="7"/>
        <v>30</v>
      </c>
      <c r="AY7" s="24">
        <f t="shared" si="7"/>
        <v>30</v>
      </c>
      <c r="AZ7" s="24">
        <f t="shared" si="7"/>
        <v>30</v>
      </c>
      <c r="BA7" s="24">
        <f t="shared" si="7"/>
        <v>30</v>
      </c>
      <c r="BB7" s="24">
        <f t="shared" si="7"/>
        <v>30</v>
      </c>
      <c r="BC7" s="25">
        <f>BC6</f>
        <v>30</v>
      </c>
    </row>
    <row r="8" spans="1:55" x14ac:dyDescent="0.2">
      <c r="A8" s="18">
        <f t="shared" si="0"/>
        <v>6</v>
      </c>
      <c r="B8" s="19">
        <v>3</v>
      </c>
      <c r="D8" s="26">
        <f t="shared" si="1"/>
        <v>6</v>
      </c>
      <c r="E8" s="21">
        <v>0</v>
      </c>
      <c r="F8" s="21">
        <v>2</v>
      </c>
      <c r="G8" s="21">
        <v>2</v>
      </c>
      <c r="H8" s="21">
        <v>3</v>
      </c>
      <c r="I8" s="21">
        <v>5</v>
      </c>
      <c r="J8" s="21">
        <v>5</v>
      </c>
      <c r="K8" s="21">
        <v>7</v>
      </c>
      <c r="L8" s="21">
        <v>7</v>
      </c>
      <c r="M8" s="21">
        <v>7</v>
      </c>
      <c r="N8" s="21">
        <v>7</v>
      </c>
      <c r="O8" s="21">
        <v>9</v>
      </c>
      <c r="P8" s="21">
        <v>9</v>
      </c>
      <c r="Q8" s="21">
        <v>9</v>
      </c>
      <c r="R8" s="21">
        <v>10</v>
      </c>
      <c r="S8" s="21">
        <v>10</v>
      </c>
      <c r="T8" s="21">
        <v>10</v>
      </c>
      <c r="U8" s="21">
        <v>12</v>
      </c>
      <c r="V8" s="21">
        <v>12</v>
      </c>
      <c r="W8" s="21">
        <v>12</v>
      </c>
      <c r="X8" s="24">
        <v>30</v>
      </c>
      <c r="Y8" s="24">
        <f t="shared" ref="Y8:BC8" si="8">X8</f>
        <v>30</v>
      </c>
      <c r="Z8" s="24">
        <f t="shared" si="8"/>
        <v>30</v>
      </c>
      <c r="AA8" s="24">
        <f t="shared" si="8"/>
        <v>30</v>
      </c>
      <c r="AB8" s="24">
        <f t="shared" si="8"/>
        <v>30</v>
      </c>
      <c r="AC8" s="24">
        <f t="shared" si="8"/>
        <v>30</v>
      </c>
      <c r="AD8" s="24">
        <f t="shared" si="8"/>
        <v>30</v>
      </c>
      <c r="AE8" s="24">
        <f t="shared" si="8"/>
        <v>30</v>
      </c>
      <c r="AF8" s="24">
        <f t="shared" si="8"/>
        <v>30</v>
      </c>
      <c r="AG8" s="24">
        <f t="shared" si="8"/>
        <v>30</v>
      </c>
      <c r="AH8" s="24">
        <f t="shared" si="8"/>
        <v>30</v>
      </c>
      <c r="AI8" s="24">
        <f t="shared" si="8"/>
        <v>30</v>
      </c>
      <c r="AJ8" s="24">
        <f t="shared" si="8"/>
        <v>30</v>
      </c>
      <c r="AK8" s="24">
        <f t="shared" si="8"/>
        <v>30</v>
      </c>
      <c r="AL8" s="24">
        <f t="shared" si="8"/>
        <v>30</v>
      </c>
      <c r="AM8" s="24">
        <f t="shared" si="8"/>
        <v>30</v>
      </c>
      <c r="AN8" s="24">
        <f t="shared" si="8"/>
        <v>30</v>
      </c>
      <c r="AO8" s="24">
        <f t="shared" si="8"/>
        <v>30</v>
      </c>
      <c r="AP8" s="24">
        <f t="shared" si="8"/>
        <v>30</v>
      </c>
      <c r="AQ8" s="24">
        <f t="shared" si="8"/>
        <v>30</v>
      </c>
      <c r="AR8" s="24">
        <f t="shared" si="8"/>
        <v>30</v>
      </c>
      <c r="AS8" s="24">
        <f t="shared" si="8"/>
        <v>30</v>
      </c>
      <c r="AT8" s="24">
        <f t="shared" si="8"/>
        <v>30</v>
      </c>
      <c r="AU8" s="24">
        <f t="shared" si="8"/>
        <v>30</v>
      </c>
      <c r="AV8" s="24">
        <f t="shared" si="8"/>
        <v>30</v>
      </c>
      <c r="AW8" s="24">
        <f t="shared" si="8"/>
        <v>30</v>
      </c>
      <c r="AX8" s="24">
        <f t="shared" si="8"/>
        <v>30</v>
      </c>
      <c r="AY8" s="24">
        <f t="shared" si="8"/>
        <v>30</v>
      </c>
      <c r="AZ8" s="24">
        <f t="shared" si="8"/>
        <v>30</v>
      </c>
      <c r="BA8" s="24">
        <f t="shared" si="8"/>
        <v>30</v>
      </c>
      <c r="BB8" s="24">
        <f t="shared" si="8"/>
        <v>30</v>
      </c>
      <c r="BC8" s="25">
        <f t="shared" si="8"/>
        <v>30</v>
      </c>
    </row>
    <row r="9" spans="1:55" x14ac:dyDescent="0.2">
      <c r="A9" s="18">
        <f t="shared" si="0"/>
        <v>7</v>
      </c>
      <c r="B9" s="19">
        <v>3</v>
      </c>
      <c r="D9" s="20">
        <f t="shared" si="1"/>
        <v>7</v>
      </c>
      <c r="E9" s="21">
        <f t="shared" ref="E9:N10" si="9">E8</f>
        <v>0</v>
      </c>
      <c r="F9" s="21">
        <f t="shared" si="9"/>
        <v>2</v>
      </c>
      <c r="G9" s="21">
        <f t="shared" si="9"/>
        <v>2</v>
      </c>
      <c r="H9" s="21">
        <f t="shared" si="9"/>
        <v>3</v>
      </c>
      <c r="I9" s="21">
        <f t="shared" si="9"/>
        <v>5</v>
      </c>
      <c r="J9" s="21">
        <f t="shared" si="9"/>
        <v>5</v>
      </c>
      <c r="K9" s="21">
        <f t="shared" si="9"/>
        <v>7</v>
      </c>
      <c r="L9" s="21">
        <f t="shared" si="9"/>
        <v>7</v>
      </c>
      <c r="M9" s="21">
        <f t="shared" si="9"/>
        <v>7</v>
      </c>
      <c r="N9" s="21">
        <f t="shared" si="9"/>
        <v>7</v>
      </c>
      <c r="O9" s="21">
        <f t="shared" ref="O9:X10" si="10">O8</f>
        <v>9</v>
      </c>
      <c r="P9" s="21">
        <f t="shared" si="10"/>
        <v>9</v>
      </c>
      <c r="Q9" s="21">
        <f t="shared" si="10"/>
        <v>9</v>
      </c>
      <c r="R9" s="21">
        <f t="shared" si="10"/>
        <v>10</v>
      </c>
      <c r="S9" s="21">
        <f t="shared" si="10"/>
        <v>10</v>
      </c>
      <c r="T9" s="21">
        <f t="shared" si="10"/>
        <v>10</v>
      </c>
      <c r="U9" s="21">
        <f t="shared" si="10"/>
        <v>12</v>
      </c>
      <c r="V9" s="21">
        <f t="shared" si="10"/>
        <v>12</v>
      </c>
      <c r="W9" s="21">
        <f t="shared" si="10"/>
        <v>12</v>
      </c>
      <c r="X9" s="24">
        <f t="shared" si="10"/>
        <v>30</v>
      </c>
      <c r="Y9" s="24">
        <f t="shared" ref="Y9:AH10" si="11">Y8</f>
        <v>30</v>
      </c>
      <c r="Z9" s="24">
        <f t="shared" si="11"/>
        <v>30</v>
      </c>
      <c r="AA9" s="24">
        <f t="shared" si="11"/>
        <v>30</v>
      </c>
      <c r="AB9" s="24">
        <f t="shared" si="11"/>
        <v>30</v>
      </c>
      <c r="AC9" s="24">
        <f t="shared" si="11"/>
        <v>30</v>
      </c>
      <c r="AD9" s="24">
        <f t="shared" si="11"/>
        <v>30</v>
      </c>
      <c r="AE9" s="24">
        <f t="shared" si="11"/>
        <v>30</v>
      </c>
      <c r="AF9" s="24">
        <f t="shared" si="11"/>
        <v>30</v>
      </c>
      <c r="AG9" s="24">
        <f t="shared" si="11"/>
        <v>30</v>
      </c>
      <c r="AH9" s="24">
        <f t="shared" si="11"/>
        <v>30</v>
      </c>
      <c r="AI9" s="24">
        <f t="shared" ref="AI9:AR10" si="12">AI8</f>
        <v>30</v>
      </c>
      <c r="AJ9" s="24">
        <f t="shared" si="12"/>
        <v>30</v>
      </c>
      <c r="AK9" s="24">
        <f t="shared" si="12"/>
        <v>30</v>
      </c>
      <c r="AL9" s="24">
        <f t="shared" si="12"/>
        <v>30</v>
      </c>
      <c r="AM9" s="24">
        <f t="shared" si="12"/>
        <v>30</v>
      </c>
      <c r="AN9" s="24">
        <f t="shared" si="12"/>
        <v>30</v>
      </c>
      <c r="AO9" s="24">
        <f t="shared" si="12"/>
        <v>30</v>
      </c>
      <c r="AP9" s="24">
        <f t="shared" si="12"/>
        <v>30</v>
      </c>
      <c r="AQ9" s="24">
        <f t="shared" si="12"/>
        <v>30</v>
      </c>
      <c r="AR9" s="24">
        <f t="shared" si="12"/>
        <v>30</v>
      </c>
      <c r="AS9" s="24">
        <f t="shared" ref="AS9:BB10" si="13">AS8</f>
        <v>30</v>
      </c>
      <c r="AT9" s="24">
        <f t="shared" si="13"/>
        <v>30</v>
      </c>
      <c r="AU9" s="24">
        <f t="shared" si="13"/>
        <v>30</v>
      </c>
      <c r="AV9" s="24">
        <f t="shared" si="13"/>
        <v>30</v>
      </c>
      <c r="AW9" s="24">
        <f t="shared" si="13"/>
        <v>30</v>
      </c>
      <c r="AX9" s="24">
        <f t="shared" si="13"/>
        <v>30</v>
      </c>
      <c r="AY9" s="24">
        <f t="shared" si="13"/>
        <v>30</v>
      </c>
      <c r="AZ9" s="24">
        <f t="shared" si="13"/>
        <v>30</v>
      </c>
      <c r="BA9" s="24">
        <f t="shared" si="13"/>
        <v>30</v>
      </c>
      <c r="BB9" s="24">
        <f t="shared" si="13"/>
        <v>30</v>
      </c>
      <c r="BC9" s="25">
        <f>BC8</f>
        <v>30</v>
      </c>
    </row>
    <row r="10" spans="1:55" x14ac:dyDescent="0.2">
      <c r="A10" s="18">
        <f t="shared" si="0"/>
        <v>8</v>
      </c>
      <c r="B10" s="19">
        <v>3</v>
      </c>
      <c r="D10" s="20">
        <f t="shared" si="1"/>
        <v>8</v>
      </c>
      <c r="E10" s="21">
        <f t="shared" si="9"/>
        <v>0</v>
      </c>
      <c r="F10" s="21">
        <f t="shared" si="9"/>
        <v>2</v>
      </c>
      <c r="G10" s="21">
        <f t="shared" si="9"/>
        <v>2</v>
      </c>
      <c r="H10" s="21">
        <f t="shared" si="9"/>
        <v>3</v>
      </c>
      <c r="I10" s="21">
        <f t="shared" si="9"/>
        <v>5</v>
      </c>
      <c r="J10" s="21">
        <f t="shared" si="9"/>
        <v>5</v>
      </c>
      <c r="K10" s="21">
        <f t="shared" si="9"/>
        <v>7</v>
      </c>
      <c r="L10" s="21">
        <f t="shared" si="9"/>
        <v>7</v>
      </c>
      <c r="M10" s="21">
        <f t="shared" si="9"/>
        <v>7</v>
      </c>
      <c r="N10" s="21">
        <f t="shared" si="9"/>
        <v>7</v>
      </c>
      <c r="O10" s="21">
        <f t="shared" si="10"/>
        <v>9</v>
      </c>
      <c r="P10" s="21">
        <f t="shared" si="10"/>
        <v>9</v>
      </c>
      <c r="Q10" s="21">
        <f t="shared" si="10"/>
        <v>9</v>
      </c>
      <c r="R10" s="21">
        <f t="shared" si="10"/>
        <v>10</v>
      </c>
      <c r="S10" s="21">
        <f t="shared" si="10"/>
        <v>10</v>
      </c>
      <c r="T10" s="21">
        <f t="shared" si="10"/>
        <v>10</v>
      </c>
      <c r="U10" s="21">
        <f t="shared" si="10"/>
        <v>12</v>
      </c>
      <c r="V10" s="21">
        <f t="shared" si="10"/>
        <v>12</v>
      </c>
      <c r="W10" s="21">
        <f t="shared" si="10"/>
        <v>12</v>
      </c>
      <c r="X10" s="24">
        <f t="shared" si="10"/>
        <v>30</v>
      </c>
      <c r="Y10" s="24">
        <f t="shared" si="11"/>
        <v>30</v>
      </c>
      <c r="Z10" s="24">
        <f t="shared" si="11"/>
        <v>30</v>
      </c>
      <c r="AA10" s="24">
        <f t="shared" si="11"/>
        <v>30</v>
      </c>
      <c r="AB10" s="24">
        <f t="shared" si="11"/>
        <v>30</v>
      </c>
      <c r="AC10" s="24">
        <f t="shared" si="11"/>
        <v>30</v>
      </c>
      <c r="AD10" s="24">
        <f t="shared" si="11"/>
        <v>30</v>
      </c>
      <c r="AE10" s="24">
        <f t="shared" si="11"/>
        <v>30</v>
      </c>
      <c r="AF10" s="24">
        <f t="shared" si="11"/>
        <v>30</v>
      </c>
      <c r="AG10" s="24">
        <f t="shared" si="11"/>
        <v>30</v>
      </c>
      <c r="AH10" s="24">
        <f t="shared" si="11"/>
        <v>30</v>
      </c>
      <c r="AI10" s="24">
        <f t="shared" si="12"/>
        <v>30</v>
      </c>
      <c r="AJ10" s="24">
        <f t="shared" si="12"/>
        <v>30</v>
      </c>
      <c r="AK10" s="24">
        <f t="shared" si="12"/>
        <v>30</v>
      </c>
      <c r="AL10" s="24">
        <f t="shared" si="12"/>
        <v>30</v>
      </c>
      <c r="AM10" s="24">
        <f t="shared" si="12"/>
        <v>30</v>
      </c>
      <c r="AN10" s="24">
        <f t="shared" si="12"/>
        <v>30</v>
      </c>
      <c r="AO10" s="24">
        <f t="shared" si="12"/>
        <v>30</v>
      </c>
      <c r="AP10" s="24">
        <f t="shared" si="12"/>
        <v>30</v>
      </c>
      <c r="AQ10" s="24">
        <f t="shared" si="12"/>
        <v>30</v>
      </c>
      <c r="AR10" s="24">
        <f t="shared" si="12"/>
        <v>30</v>
      </c>
      <c r="AS10" s="24">
        <f t="shared" si="13"/>
        <v>30</v>
      </c>
      <c r="AT10" s="24">
        <f t="shared" si="13"/>
        <v>30</v>
      </c>
      <c r="AU10" s="24">
        <f t="shared" si="13"/>
        <v>30</v>
      </c>
      <c r="AV10" s="24">
        <f t="shared" si="13"/>
        <v>30</v>
      </c>
      <c r="AW10" s="24">
        <f t="shared" si="13"/>
        <v>30</v>
      </c>
      <c r="AX10" s="24">
        <f t="shared" si="13"/>
        <v>30</v>
      </c>
      <c r="AY10" s="24">
        <f t="shared" si="13"/>
        <v>30</v>
      </c>
      <c r="AZ10" s="24">
        <f t="shared" si="13"/>
        <v>30</v>
      </c>
      <c r="BA10" s="24">
        <f t="shared" si="13"/>
        <v>30</v>
      </c>
      <c r="BB10" s="24">
        <f t="shared" si="13"/>
        <v>30</v>
      </c>
      <c r="BC10" s="25">
        <f>BC9</f>
        <v>30</v>
      </c>
    </row>
    <row r="11" spans="1:55" x14ac:dyDescent="0.2">
      <c r="A11" s="23">
        <f t="shared" si="0"/>
        <v>9</v>
      </c>
      <c r="B11" s="19">
        <v>4</v>
      </c>
      <c r="D11" s="26">
        <f t="shared" si="1"/>
        <v>9</v>
      </c>
      <c r="E11" s="21">
        <v>0</v>
      </c>
      <c r="F11" s="21">
        <v>1</v>
      </c>
      <c r="G11" s="21">
        <v>1</v>
      </c>
      <c r="H11" s="21">
        <v>2</v>
      </c>
      <c r="I11" s="21">
        <v>3</v>
      </c>
      <c r="J11" s="21">
        <v>3</v>
      </c>
      <c r="K11" s="21">
        <v>5</v>
      </c>
      <c r="L11" s="21">
        <v>5</v>
      </c>
      <c r="M11" s="21">
        <v>5</v>
      </c>
      <c r="N11" s="21">
        <v>5</v>
      </c>
      <c r="O11" s="21">
        <v>7</v>
      </c>
      <c r="P11" s="21">
        <v>7</v>
      </c>
      <c r="Q11" s="21">
        <v>7</v>
      </c>
      <c r="R11" s="21">
        <v>7</v>
      </c>
      <c r="S11" s="21">
        <v>9</v>
      </c>
      <c r="T11" s="21">
        <v>9</v>
      </c>
      <c r="U11" s="21">
        <v>9</v>
      </c>
      <c r="V11" s="21">
        <v>9</v>
      </c>
      <c r="W11" s="21">
        <v>10</v>
      </c>
      <c r="X11" s="21">
        <v>10</v>
      </c>
      <c r="Y11" s="21">
        <v>10</v>
      </c>
      <c r="Z11" s="21">
        <v>12</v>
      </c>
      <c r="AA11" s="21">
        <v>12</v>
      </c>
      <c r="AB11" s="21">
        <v>12</v>
      </c>
      <c r="AC11" s="24">
        <v>30</v>
      </c>
      <c r="AD11" s="24">
        <f t="shared" ref="AD11:BC11" si="14">AC11</f>
        <v>30</v>
      </c>
      <c r="AE11" s="24">
        <f t="shared" si="14"/>
        <v>30</v>
      </c>
      <c r="AF11" s="24">
        <f t="shared" si="14"/>
        <v>30</v>
      </c>
      <c r="AG11" s="24">
        <f t="shared" si="14"/>
        <v>30</v>
      </c>
      <c r="AH11" s="24">
        <f t="shared" si="14"/>
        <v>30</v>
      </c>
      <c r="AI11" s="24">
        <f t="shared" si="14"/>
        <v>30</v>
      </c>
      <c r="AJ11" s="24">
        <f t="shared" si="14"/>
        <v>30</v>
      </c>
      <c r="AK11" s="24">
        <f t="shared" si="14"/>
        <v>30</v>
      </c>
      <c r="AL11" s="24">
        <f t="shared" si="14"/>
        <v>30</v>
      </c>
      <c r="AM11" s="24">
        <f t="shared" si="14"/>
        <v>30</v>
      </c>
      <c r="AN11" s="24">
        <f t="shared" si="14"/>
        <v>30</v>
      </c>
      <c r="AO11" s="24">
        <f t="shared" si="14"/>
        <v>30</v>
      </c>
      <c r="AP11" s="24">
        <f t="shared" si="14"/>
        <v>30</v>
      </c>
      <c r="AQ11" s="24">
        <f t="shared" si="14"/>
        <v>30</v>
      </c>
      <c r="AR11" s="24">
        <f t="shared" si="14"/>
        <v>30</v>
      </c>
      <c r="AS11" s="24">
        <f t="shared" si="14"/>
        <v>30</v>
      </c>
      <c r="AT11" s="24">
        <f t="shared" si="14"/>
        <v>30</v>
      </c>
      <c r="AU11" s="24">
        <f t="shared" si="14"/>
        <v>30</v>
      </c>
      <c r="AV11" s="24">
        <f t="shared" si="14"/>
        <v>30</v>
      </c>
      <c r="AW11" s="24">
        <f t="shared" si="14"/>
        <v>30</v>
      </c>
      <c r="AX11" s="24">
        <f t="shared" si="14"/>
        <v>30</v>
      </c>
      <c r="AY11" s="24">
        <f t="shared" si="14"/>
        <v>30</v>
      </c>
      <c r="AZ11" s="24">
        <f t="shared" si="14"/>
        <v>30</v>
      </c>
      <c r="BA11" s="24">
        <f t="shared" si="14"/>
        <v>30</v>
      </c>
      <c r="BB11" s="24">
        <f t="shared" si="14"/>
        <v>30</v>
      </c>
      <c r="BC11" s="25">
        <f t="shared" si="14"/>
        <v>30</v>
      </c>
    </row>
    <row r="12" spans="1:55" x14ac:dyDescent="0.2">
      <c r="A12" s="18">
        <f t="shared" si="0"/>
        <v>10</v>
      </c>
      <c r="B12" s="19">
        <v>4</v>
      </c>
      <c r="D12" s="20">
        <f t="shared" si="1"/>
        <v>10</v>
      </c>
      <c r="E12" s="21">
        <f t="shared" ref="E12:N14" si="15">E11</f>
        <v>0</v>
      </c>
      <c r="F12" s="21">
        <f t="shared" si="15"/>
        <v>1</v>
      </c>
      <c r="G12" s="21">
        <f t="shared" si="15"/>
        <v>1</v>
      </c>
      <c r="H12" s="21">
        <f t="shared" si="15"/>
        <v>2</v>
      </c>
      <c r="I12" s="21">
        <f t="shared" si="15"/>
        <v>3</v>
      </c>
      <c r="J12" s="21">
        <f t="shared" si="15"/>
        <v>3</v>
      </c>
      <c r="K12" s="21">
        <f t="shared" si="15"/>
        <v>5</v>
      </c>
      <c r="L12" s="21">
        <f t="shared" si="15"/>
        <v>5</v>
      </c>
      <c r="M12" s="21">
        <f t="shared" si="15"/>
        <v>5</v>
      </c>
      <c r="N12" s="21">
        <f t="shared" si="15"/>
        <v>5</v>
      </c>
      <c r="O12" s="21">
        <f t="shared" ref="O12:X14" si="16">O11</f>
        <v>7</v>
      </c>
      <c r="P12" s="21">
        <f t="shared" si="16"/>
        <v>7</v>
      </c>
      <c r="Q12" s="21">
        <f t="shared" si="16"/>
        <v>7</v>
      </c>
      <c r="R12" s="21">
        <f t="shared" si="16"/>
        <v>7</v>
      </c>
      <c r="S12" s="21">
        <f t="shared" si="16"/>
        <v>9</v>
      </c>
      <c r="T12" s="21">
        <f t="shared" si="16"/>
        <v>9</v>
      </c>
      <c r="U12" s="21">
        <f t="shared" si="16"/>
        <v>9</v>
      </c>
      <c r="V12" s="21">
        <f t="shared" si="16"/>
        <v>9</v>
      </c>
      <c r="W12" s="21">
        <f t="shared" si="16"/>
        <v>10</v>
      </c>
      <c r="X12" s="21">
        <f t="shared" si="16"/>
        <v>10</v>
      </c>
      <c r="Y12" s="21">
        <f t="shared" ref="Y12:AH14" si="17">Y11</f>
        <v>10</v>
      </c>
      <c r="Z12" s="21">
        <f t="shared" si="17"/>
        <v>12</v>
      </c>
      <c r="AA12" s="21">
        <f t="shared" si="17"/>
        <v>12</v>
      </c>
      <c r="AB12" s="21">
        <f t="shared" si="17"/>
        <v>12</v>
      </c>
      <c r="AC12" s="24">
        <f t="shared" si="17"/>
        <v>30</v>
      </c>
      <c r="AD12" s="24">
        <f t="shared" si="17"/>
        <v>30</v>
      </c>
      <c r="AE12" s="24">
        <f t="shared" si="17"/>
        <v>30</v>
      </c>
      <c r="AF12" s="24">
        <f t="shared" si="17"/>
        <v>30</v>
      </c>
      <c r="AG12" s="24">
        <f t="shared" si="17"/>
        <v>30</v>
      </c>
      <c r="AH12" s="24">
        <f t="shared" si="17"/>
        <v>30</v>
      </c>
      <c r="AI12" s="24">
        <f t="shared" ref="AI12:AR14" si="18">AI11</f>
        <v>30</v>
      </c>
      <c r="AJ12" s="24">
        <f t="shared" si="18"/>
        <v>30</v>
      </c>
      <c r="AK12" s="24">
        <f t="shared" si="18"/>
        <v>30</v>
      </c>
      <c r="AL12" s="24">
        <f t="shared" si="18"/>
        <v>30</v>
      </c>
      <c r="AM12" s="24">
        <f t="shared" si="18"/>
        <v>30</v>
      </c>
      <c r="AN12" s="24">
        <f t="shared" si="18"/>
        <v>30</v>
      </c>
      <c r="AO12" s="24">
        <f t="shared" si="18"/>
        <v>30</v>
      </c>
      <c r="AP12" s="24">
        <f t="shared" si="18"/>
        <v>30</v>
      </c>
      <c r="AQ12" s="24">
        <f t="shared" si="18"/>
        <v>30</v>
      </c>
      <c r="AR12" s="24">
        <f t="shared" si="18"/>
        <v>30</v>
      </c>
      <c r="AS12" s="24">
        <f t="shared" ref="AS12:BB14" si="19">AS11</f>
        <v>30</v>
      </c>
      <c r="AT12" s="24">
        <f t="shared" si="19"/>
        <v>30</v>
      </c>
      <c r="AU12" s="24">
        <f t="shared" si="19"/>
        <v>30</v>
      </c>
      <c r="AV12" s="24">
        <f t="shared" si="19"/>
        <v>30</v>
      </c>
      <c r="AW12" s="24">
        <f t="shared" si="19"/>
        <v>30</v>
      </c>
      <c r="AX12" s="24">
        <f t="shared" si="19"/>
        <v>30</v>
      </c>
      <c r="AY12" s="24">
        <f t="shared" si="19"/>
        <v>30</v>
      </c>
      <c r="AZ12" s="24">
        <f t="shared" si="19"/>
        <v>30</v>
      </c>
      <c r="BA12" s="24">
        <f t="shared" si="19"/>
        <v>30</v>
      </c>
      <c r="BB12" s="24">
        <f t="shared" si="19"/>
        <v>30</v>
      </c>
      <c r="BC12" s="25">
        <f>BC11</f>
        <v>30</v>
      </c>
    </row>
    <row r="13" spans="1:55" x14ac:dyDescent="0.2">
      <c r="A13" s="18">
        <f t="shared" si="0"/>
        <v>11</v>
      </c>
      <c r="B13" s="19">
        <v>4</v>
      </c>
      <c r="D13" s="20">
        <f t="shared" si="1"/>
        <v>11</v>
      </c>
      <c r="E13" s="21">
        <f t="shared" si="15"/>
        <v>0</v>
      </c>
      <c r="F13" s="21">
        <f t="shared" si="15"/>
        <v>1</v>
      </c>
      <c r="G13" s="21">
        <f t="shared" si="15"/>
        <v>1</v>
      </c>
      <c r="H13" s="21">
        <f t="shared" si="15"/>
        <v>2</v>
      </c>
      <c r="I13" s="21">
        <f t="shared" si="15"/>
        <v>3</v>
      </c>
      <c r="J13" s="21">
        <f t="shared" si="15"/>
        <v>3</v>
      </c>
      <c r="K13" s="21">
        <f t="shared" si="15"/>
        <v>5</v>
      </c>
      <c r="L13" s="21">
        <f t="shared" si="15"/>
        <v>5</v>
      </c>
      <c r="M13" s="21">
        <f t="shared" si="15"/>
        <v>5</v>
      </c>
      <c r="N13" s="21">
        <f t="shared" si="15"/>
        <v>5</v>
      </c>
      <c r="O13" s="21">
        <f t="shared" si="16"/>
        <v>7</v>
      </c>
      <c r="P13" s="21">
        <f t="shared" si="16"/>
        <v>7</v>
      </c>
      <c r="Q13" s="21">
        <f t="shared" si="16"/>
        <v>7</v>
      </c>
      <c r="R13" s="21">
        <f t="shared" si="16"/>
        <v>7</v>
      </c>
      <c r="S13" s="21">
        <f t="shared" si="16"/>
        <v>9</v>
      </c>
      <c r="T13" s="21">
        <f t="shared" si="16"/>
        <v>9</v>
      </c>
      <c r="U13" s="21">
        <f t="shared" si="16"/>
        <v>9</v>
      </c>
      <c r="V13" s="21">
        <f t="shared" si="16"/>
        <v>9</v>
      </c>
      <c r="W13" s="21">
        <f t="shared" si="16"/>
        <v>10</v>
      </c>
      <c r="X13" s="21">
        <f t="shared" si="16"/>
        <v>10</v>
      </c>
      <c r="Y13" s="21">
        <f t="shared" si="17"/>
        <v>10</v>
      </c>
      <c r="Z13" s="21">
        <f t="shared" si="17"/>
        <v>12</v>
      </c>
      <c r="AA13" s="21">
        <f t="shared" si="17"/>
        <v>12</v>
      </c>
      <c r="AB13" s="21">
        <f t="shared" si="17"/>
        <v>12</v>
      </c>
      <c r="AC13" s="24">
        <f t="shared" si="17"/>
        <v>30</v>
      </c>
      <c r="AD13" s="24">
        <f t="shared" si="17"/>
        <v>30</v>
      </c>
      <c r="AE13" s="24">
        <f t="shared" si="17"/>
        <v>30</v>
      </c>
      <c r="AF13" s="24">
        <f t="shared" si="17"/>
        <v>30</v>
      </c>
      <c r="AG13" s="24">
        <f t="shared" si="17"/>
        <v>30</v>
      </c>
      <c r="AH13" s="24">
        <f t="shared" si="17"/>
        <v>30</v>
      </c>
      <c r="AI13" s="24">
        <f t="shared" si="18"/>
        <v>30</v>
      </c>
      <c r="AJ13" s="24">
        <f t="shared" si="18"/>
        <v>30</v>
      </c>
      <c r="AK13" s="24">
        <f t="shared" si="18"/>
        <v>30</v>
      </c>
      <c r="AL13" s="24">
        <f t="shared" si="18"/>
        <v>30</v>
      </c>
      <c r="AM13" s="24">
        <f t="shared" si="18"/>
        <v>30</v>
      </c>
      <c r="AN13" s="24">
        <f t="shared" si="18"/>
        <v>30</v>
      </c>
      <c r="AO13" s="24">
        <f t="shared" si="18"/>
        <v>30</v>
      </c>
      <c r="AP13" s="24">
        <f t="shared" si="18"/>
        <v>30</v>
      </c>
      <c r="AQ13" s="24">
        <f t="shared" si="18"/>
        <v>30</v>
      </c>
      <c r="AR13" s="24">
        <f t="shared" si="18"/>
        <v>30</v>
      </c>
      <c r="AS13" s="24">
        <f t="shared" si="19"/>
        <v>30</v>
      </c>
      <c r="AT13" s="24">
        <f t="shared" si="19"/>
        <v>30</v>
      </c>
      <c r="AU13" s="24">
        <f t="shared" si="19"/>
        <v>30</v>
      </c>
      <c r="AV13" s="24">
        <f t="shared" si="19"/>
        <v>30</v>
      </c>
      <c r="AW13" s="24">
        <f t="shared" si="19"/>
        <v>30</v>
      </c>
      <c r="AX13" s="24">
        <f t="shared" si="19"/>
        <v>30</v>
      </c>
      <c r="AY13" s="24">
        <f t="shared" si="19"/>
        <v>30</v>
      </c>
      <c r="AZ13" s="24">
        <f t="shared" si="19"/>
        <v>30</v>
      </c>
      <c r="BA13" s="24">
        <f t="shared" si="19"/>
        <v>30</v>
      </c>
      <c r="BB13" s="24">
        <f t="shared" si="19"/>
        <v>30</v>
      </c>
      <c r="BC13" s="25">
        <f>BC12</f>
        <v>30</v>
      </c>
    </row>
    <row r="14" spans="1:55" x14ac:dyDescent="0.2">
      <c r="A14" s="18">
        <f t="shared" si="0"/>
        <v>12</v>
      </c>
      <c r="B14" s="19">
        <v>4</v>
      </c>
      <c r="D14" s="20">
        <f t="shared" si="1"/>
        <v>12</v>
      </c>
      <c r="E14" s="21">
        <f t="shared" si="15"/>
        <v>0</v>
      </c>
      <c r="F14" s="21">
        <f t="shared" si="15"/>
        <v>1</v>
      </c>
      <c r="G14" s="21">
        <f t="shared" si="15"/>
        <v>1</v>
      </c>
      <c r="H14" s="21">
        <f t="shared" si="15"/>
        <v>2</v>
      </c>
      <c r="I14" s="21">
        <f t="shared" si="15"/>
        <v>3</v>
      </c>
      <c r="J14" s="21">
        <f t="shared" si="15"/>
        <v>3</v>
      </c>
      <c r="K14" s="21">
        <f t="shared" si="15"/>
        <v>5</v>
      </c>
      <c r="L14" s="21">
        <f t="shared" si="15"/>
        <v>5</v>
      </c>
      <c r="M14" s="21">
        <f t="shared" si="15"/>
        <v>5</v>
      </c>
      <c r="N14" s="21">
        <f t="shared" si="15"/>
        <v>5</v>
      </c>
      <c r="O14" s="21">
        <f t="shared" si="16"/>
        <v>7</v>
      </c>
      <c r="P14" s="21">
        <f t="shared" si="16"/>
        <v>7</v>
      </c>
      <c r="Q14" s="21">
        <f t="shared" si="16"/>
        <v>7</v>
      </c>
      <c r="R14" s="21">
        <f t="shared" si="16"/>
        <v>7</v>
      </c>
      <c r="S14" s="21">
        <f t="shared" si="16"/>
        <v>9</v>
      </c>
      <c r="T14" s="21">
        <f t="shared" si="16"/>
        <v>9</v>
      </c>
      <c r="U14" s="21">
        <f t="shared" si="16"/>
        <v>9</v>
      </c>
      <c r="V14" s="21">
        <f t="shared" si="16"/>
        <v>9</v>
      </c>
      <c r="W14" s="21">
        <f t="shared" si="16"/>
        <v>10</v>
      </c>
      <c r="X14" s="21">
        <f t="shared" si="16"/>
        <v>10</v>
      </c>
      <c r="Y14" s="21">
        <f t="shared" si="17"/>
        <v>10</v>
      </c>
      <c r="Z14" s="21">
        <f t="shared" si="17"/>
        <v>12</v>
      </c>
      <c r="AA14" s="21">
        <f t="shared" si="17"/>
        <v>12</v>
      </c>
      <c r="AB14" s="21">
        <f t="shared" si="17"/>
        <v>12</v>
      </c>
      <c r="AC14" s="24">
        <f t="shared" si="17"/>
        <v>30</v>
      </c>
      <c r="AD14" s="24">
        <f t="shared" si="17"/>
        <v>30</v>
      </c>
      <c r="AE14" s="24">
        <f t="shared" si="17"/>
        <v>30</v>
      </c>
      <c r="AF14" s="24">
        <f t="shared" si="17"/>
        <v>30</v>
      </c>
      <c r="AG14" s="24">
        <f t="shared" si="17"/>
        <v>30</v>
      </c>
      <c r="AH14" s="24">
        <f t="shared" si="17"/>
        <v>30</v>
      </c>
      <c r="AI14" s="24">
        <f t="shared" si="18"/>
        <v>30</v>
      </c>
      <c r="AJ14" s="24">
        <f t="shared" si="18"/>
        <v>30</v>
      </c>
      <c r="AK14" s="24">
        <f t="shared" si="18"/>
        <v>30</v>
      </c>
      <c r="AL14" s="24">
        <f t="shared" si="18"/>
        <v>30</v>
      </c>
      <c r="AM14" s="24">
        <f t="shared" si="18"/>
        <v>30</v>
      </c>
      <c r="AN14" s="24">
        <f t="shared" si="18"/>
        <v>30</v>
      </c>
      <c r="AO14" s="24">
        <f t="shared" si="18"/>
        <v>30</v>
      </c>
      <c r="AP14" s="24">
        <f t="shared" si="18"/>
        <v>30</v>
      </c>
      <c r="AQ14" s="24">
        <f t="shared" si="18"/>
        <v>30</v>
      </c>
      <c r="AR14" s="24">
        <f t="shared" si="18"/>
        <v>30</v>
      </c>
      <c r="AS14" s="24">
        <f t="shared" si="19"/>
        <v>30</v>
      </c>
      <c r="AT14" s="24">
        <f t="shared" si="19"/>
        <v>30</v>
      </c>
      <c r="AU14" s="24">
        <f t="shared" si="19"/>
        <v>30</v>
      </c>
      <c r="AV14" s="24">
        <f t="shared" si="19"/>
        <v>30</v>
      </c>
      <c r="AW14" s="24">
        <f t="shared" si="19"/>
        <v>30</v>
      </c>
      <c r="AX14" s="24">
        <f t="shared" si="19"/>
        <v>30</v>
      </c>
      <c r="AY14" s="24">
        <f t="shared" si="19"/>
        <v>30</v>
      </c>
      <c r="AZ14" s="24">
        <f t="shared" si="19"/>
        <v>30</v>
      </c>
      <c r="BA14" s="24">
        <f t="shared" si="19"/>
        <v>30</v>
      </c>
      <c r="BB14" s="24">
        <f t="shared" si="19"/>
        <v>30</v>
      </c>
      <c r="BC14" s="25">
        <f>BC13</f>
        <v>30</v>
      </c>
    </row>
    <row r="15" spans="1:55" x14ac:dyDescent="0.2">
      <c r="A15" s="23">
        <f t="shared" si="0"/>
        <v>13</v>
      </c>
      <c r="B15" s="19">
        <v>5</v>
      </c>
      <c r="D15" s="26">
        <f t="shared" si="1"/>
        <v>13</v>
      </c>
      <c r="E15" s="21">
        <v>0</v>
      </c>
      <c r="F15" s="21">
        <v>0</v>
      </c>
      <c r="G15" s="21">
        <v>0</v>
      </c>
      <c r="H15" s="21">
        <v>1</v>
      </c>
      <c r="I15" s="21">
        <v>2</v>
      </c>
      <c r="J15" s="21">
        <v>2</v>
      </c>
      <c r="K15" s="21">
        <v>3</v>
      </c>
      <c r="L15" s="21">
        <v>3</v>
      </c>
      <c r="M15" s="21">
        <v>3</v>
      </c>
      <c r="N15" s="21">
        <v>3</v>
      </c>
      <c r="O15" s="21">
        <v>5</v>
      </c>
      <c r="P15" s="21">
        <v>5</v>
      </c>
      <c r="Q15" s="21">
        <v>5</v>
      </c>
      <c r="R15" s="21">
        <v>5</v>
      </c>
      <c r="S15" s="21">
        <v>7</v>
      </c>
      <c r="T15" s="21">
        <v>7</v>
      </c>
      <c r="U15" s="21">
        <v>7</v>
      </c>
      <c r="V15" s="21">
        <v>7</v>
      </c>
      <c r="W15" s="21">
        <v>7</v>
      </c>
      <c r="X15" s="21">
        <v>9</v>
      </c>
      <c r="Y15" s="21">
        <v>9</v>
      </c>
      <c r="Z15" s="21">
        <v>9</v>
      </c>
      <c r="AA15" s="21">
        <v>10</v>
      </c>
      <c r="AB15" s="21">
        <v>10</v>
      </c>
      <c r="AC15" s="21">
        <v>10</v>
      </c>
      <c r="AD15" s="21">
        <v>10</v>
      </c>
      <c r="AE15" s="21">
        <v>12</v>
      </c>
      <c r="AF15" s="21">
        <v>12</v>
      </c>
      <c r="AG15" s="21">
        <v>12</v>
      </c>
      <c r="AH15" s="21">
        <v>12</v>
      </c>
      <c r="AI15" s="24">
        <v>30</v>
      </c>
      <c r="AJ15" s="24">
        <f t="shared" ref="AJ15:BC15" si="20">AI15</f>
        <v>30</v>
      </c>
      <c r="AK15" s="24">
        <f t="shared" si="20"/>
        <v>30</v>
      </c>
      <c r="AL15" s="24">
        <f t="shared" si="20"/>
        <v>30</v>
      </c>
      <c r="AM15" s="24">
        <f t="shared" si="20"/>
        <v>30</v>
      </c>
      <c r="AN15" s="24">
        <f t="shared" si="20"/>
        <v>30</v>
      </c>
      <c r="AO15" s="24">
        <f t="shared" si="20"/>
        <v>30</v>
      </c>
      <c r="AP15" s="24">
        <f t="shared" si="20"/>
        <v>30</v>
      </c>
      <c r="AQ15" s="24">
        <f t="shared" si="20"/>
        <v>30</v>
      </c>
      <c r="AR15" s="24">
        <f t="shared" si="20"/>
        <v>30</v>
      </c>
      <c r="AS15" s="24">
        <f t="shared" si="20"/>
        <v>30</v>
      </c>
      <c r="AT15" s="24">
        <f t="shared" si="20"/>
        <v>30</v>
      </c>
      <c r="AU15" s="24">
        <f t="shared" si="20"/>
        <v>30</v>
      </c>
      <c r="AV15" s="24">
        <f t="shared" si="20"/>
        <v>30</v>
      </c>
      <c r="AW15" s="24">
        <f t="shared" si="20"/>
        <v>30</v>
      </c>
      <c r="AX15" s="24">
        <f t="shared" si="20"/>
        <v>30</v>
      </c>
      <c r="AY15" s="24">
        <f t="shared" si="20"/>
        <v>30</v>
      </c>
      <c r="AZ15" s="24">
        <f t="shared" si="20"/>
        <v>30</v>
      </c>
      <c r="BA15" s="24">
        <f t="shared" si="20"/>
        <v>30</v>
      </c>
      <c r="BB15" s="24">
        <f t="shared" si="20"/>
        <v>30</v>
      </c>
      <c r="BC15" s="25">
        <f t="shared" si="20"/>
        <v>30</v>
      </c>
    </row>
    <row r="16" spans="1:55" x14ac:dyDescent="0.2">
      <c r="A16" s="18">
        <f t="shared" si="0"/>
        <v>14</v>
      </c>
      <c r="B16" s="19">
        <v>5</v>
      </c>
      <c r="D16" s="20">
        <f t="shared" si="1"/>
        <v>14</v>
      </c>
      <c r="E16" s="21">
        <f t="shared" ref="E16:N19" si="21">E15</f>
        <v>0</v>
      </c>
      <c r="F16" s="21">
        <f t="shared" si="21"/>
        <v>0</v>
      </c>
      <c r="G16" s="21">
        <f t="shared" si="21"/>
        <v>0</v>
      </c>
      <c r="H16" s="21">
        <f t="shared" si="21"/>
        <v>1</v>
      </c>
      <c r="I16" s="21">
        <f t="shared" si="21"/>
        <v>2</v>
      </c>
      <c r="J16" s="21">
        <f t="shared" si="21"/>
        <v>2</v>
      </c>
      <c r="K16" s="21">
        <f t="shared" si="21"/>
        <v>3</v>
      </c>
      <c r="L16" s="21">
        <f t="shared" si="21"/>
        <v>3</v>
      </c>
      <c r="M16" s="21">
        <f t="shared" si="21"/>
        <v>3</v>
      </c>
      <c r="N16" s="21">
        <f t="shared" si="21"/>
        <v>3</v>
      </c>
      <c r="O16" s="21">
        <f t="shared" ref="O16:X19" si="22">O15</f>
        <v>5</v>
      </c>
      <c r="P16" s="21">
        <f t="shared" si="22"/>
        <v>5</v>
      </c>
      <c r="Q16" s="21">
        <f t="shared" si="22"/>
        <v>5</v>
      </c>
      <c r="R16" s="21">
        <f t="shared" si="22"/>
        <v>5</v>
      </c>
      <c r="S16" s="21">
        <f t="shared" si="22"/>
        <v>7</v>
      </c>
      <c r="T16" s="21">
        <f t="shared" si="22"/>
        <v>7</v>
      </c>
      <c r="U16" s="21">
        <f t="shared" si="22"/>
        <v>7</v>
      </c>
      <c r="V16" s="21">
        <f t="shared" si="22"/>
        <v>7</v>
      </c>
      <c r="W16" s="21">
        <f t="shared" si="22"/>
        <v>7</v>
      </c>
      <c r="X16" s="21">
        <f t="shared" si="22"/>
        <v>9</v>
      </c>
      <c r="Y16" s="21">
        <f t="shared" ref="Y16:AH19" si="23">Y15</f>
        <v>9</v>
      </c>
      <c r="Z16" s="21">
        <f t="shared" si="23"/>
        <v>9</v>
      </c>
      <c r="AA16" s="21">
        <f t="shared" si="23"/>
        <v>10</v>
      </c>
      <c r="AB16" s="21">
        <f t="shared" si="23"/>
        <v>10</v>
      </c>
      <c r="AC16" s="21">
        <f t="shared" si="23"/>
        <v>10</v>
      </c>
      <c r="AD16" s="21">
        <f t="shared" si="23"/>
        <v>10</v>
      </c>
      <c r="AE16" s="21">
        <f t="shared" si="23"/>
        <v>12</v>
      </c>
      <c r="AF16" s="21">
        <f t="shared" si="23"/>
        <v>12</v>
      </c>
      <c r="AG16" s="21">
        <f t="shared" si="23"/>
        <v>12</v>
      </c>
      <c r="AH16" s="21">
        <f t="shared" si="23"/>
        <v>12</v>
      </c>
      <c r="AI16" s="24">
        <f t="shared" ref="AI16:AR19" si="24">AI15</f>
        <v>30</v>
      </c>
      <c r="AJ16" s="24">
        <f t="shared" si="24"/>
        <v>30</v>
      </c>
      <c r="AK16" s="24">
        <f t="shared" si="24"/>
        <v>30</v>
      </c>
      <c r="AL16" s="24">
        <f t="shared" si="24"/>
        <v>30</v>
      </c>
      <c r="AM16" s="24">
        <f t="shared" si="24"/>
        <v>30</v>
      </c>
      <c r="AN16" s="24">
        <f t="shared" si="24"/>
        <v>30</v>
      </c>
      <c r="AO16" s="24">
        <f t="shared" si="24"/>
        <v>30</v>
      </c>
      <c r="AP16" s="24">
        <f t="shared" si="24"/>
        <v>30</v>
      </c>
      <c r="AQ16" s="24">
        <f t="shared" si="24"/>
        <v>30</v>
      </c>
      <c r="AR16" s="24">
        <f t="shared" si="24"/>
        <v>30</v>
      </c>
      <c r="AS16" s="24">
        <f t="shared" ref="AS16:BB19" si="25">AS15</f>
        <v>30</v>
      </c>
      <c r="AT16" s="24">
        <f t="shared" si="25"/>
        <v>30</v>
      </c>
      <c r="AU16" s="24">
        <f t="shared" si="25"/>
        <v>30</v>
      </c>
      <c r="AV16" s="24">
        <f t="shared" si="25"/>
        <v>30</v>
      </c>
      <c r="AW16" s="24">
        <f t="shared" si="25"/>
        <v>30</v>
      </c>
      <c r="AX16" s="24">
        <f t="shared" si="25"/>
        <v>30</v>
      </c>
      <c r="AY16" s="24">
        <f t="shared" si="25"/>
        <v>30</v>
      </c>
      <c r="AZ16" s="24">
        <f t="shared" si="25"/>
        <v>30</v>
      </c>
      <c r="BA16" s="24">
        <f t="shared" si="25"/>
        <v>30</v>
      </c>
      <c r="BB16" s="24">
        <f t="shared" si="25"/>
        <v>30</v>
      </c>
      <c r="BC16" s="25">
        <f>BC15</f>
        <v>30</v>
      </c>
    </row>
    <row r="17" spans="1:55" x14ac:dyDescent="0.2">
      <c r="A17" s="18">
        <f t="shared" si="0"/>
        <v>15</v>
      </c>
      <c r="B17" s="19">
        <v>5</v>
      </c>
      <c r="D17" s="20">
        <f t="shared" si="1"/>
        <v>15</v>
      </c>
      <c r="E17" s="21">
        <f t="shared" si="21"/>
        <v>0</v>
      </c>
      <c r="F17" s="21">
        <f t="shared" si="21"/>
        <v>0</v>
      </c>
      <c r="G17" s="21">
        <f t="shared" si="21"/>
        <v>0</v>
      </c>
      <c r="H17" s="21">
        <f t="shared" si="21"/>
        <v>1</v>
      </c>
      <c r="I17" s="21">
        <f t="shared" si="21"/>
        <v>2</v>
      </c>
      <c r="J17" s="21">
        <f t="shared" si="21"/>
        <v>2</v>
      </c>
      <c r="K17" s="21">
        <f t="shared" si="21"/>
        <v>3</v>
      </c>
      <c r="L17" s="21">
        <f t="shared" si="21"/>
        <v>3</v>
      </c>
      <c r="M17" s="21">
        <f t="shared" si="21"/>
        <v>3</v>
      </c>
      <c r="N17" s="21">
        <f t="shared" si="21"/>
        <v>3</v>
      </c>
      <c r="O17" s="21">
        <f t="shared" si="22"/>
        <v>5</v>
      </c>
      <c r="P17" s="21">
        <f t="shared" si="22"/>
        <v>5</v>
      </c>
      <c r="Q17" s="21">
        <f t="shared" si="22"/>
        <v>5</v>
      </c>
      <c r="R17" s="21">
        <f t="shared" si="22"/>
        <v>5</v>
      </c>
      <c r="S17" s="21">
        <f t="shared" si="22"/>
        <v>7</v>
      </c>
      <c r="T17" s="21">
        <f t="shared" si="22"/>
        <v>7</v>
      </c>
      <c r="U17" s="21">
        <f t="shared" si="22"/>
        <v>7</v>
      </c>
      <c r="V17" s="21">
        <f t="shared" si="22"/>
        <v>7</v>
      </c>
      <c r="W17" s="21">
        <f t="shared" si="22"/>
        <v>7</v>
      </c>
      <c r="X17" s="21">
        <f t="shared" si="22"/>
        <v>9</v>
      </c>
      <c r="Y17" s="21">
        <f t="shared" si="23"/>
        <v>9</v>
      </c>
      <c r="Z17" s="21">
        <f t="shared" si="23"/>
        <v>9</v>
      </c>
      <c r="AA17" s="21">
        <f t="shared" si="23"/>
        <v>10</v>
      </c>
      <c r="AB17" s="21">
        <f t="shared" si="23"/>
        <v>10</v>
      </c>
      <c r="AC17" s="21">
        <f t="shared" si="23"/>
        <v>10</v>
      </c>
      <c r="AD17" s="21">
        <f t="shared" si="23"/>
        <v>10</v>
      </c>
      <c r="AE17" s="21">
        <f t="shared" si="23"/>
        <v>12</v>
      </c>
      <c r="AF17" s="21">
        <f t="shared" si="23"/>
        <v>12</v>
      </c>
      <c r="AG17" s="21">
        <f t="shared" si="23"/>
        <v>12</v>
      </c>
      <c r="AH17" s="21">
        <f t="shared" si="23"/>
        <v>12</v>
      </c>
      <c r="AI17" s="24">
        <f t="shared" si="24"/>
        <v>30</v>
      </c>
      <c r="AJ17" s="24">
        <f t="shared" si="24"/>
        <v>30</v>
      </c>
      <c r="AK17" s="24">
        <f t="shared" si="24"/>
        <v>30</v>
      </c>
      <c r="AL17" s="24">
        <f t="shared" si="24"/>
        <v>30</v>
      </c>
      <c r="AM17" s="24">
        <f t="shared" si="24"/>
        <v>30</v>
      </c>
      <c r="AN17" s="24">
        <f t="shared" si="24"/>
        <v>30</v>
      </c>
      <c r="AO17" s="24">
        <f t="shared" si="24"/>
        <v>30</v>
      </c>
      <c r="AP17" s="24">
        <f t="shared" si="24"/>
        <v>30</v>
      </c>
      <c r="AQ17" s="24">
        <f t="shared" si="24"/>
        <v>30</v>
      </c>
      <c r="AR17" s="24">
        <f t="shared" si="24"/>
        <v>30</v>
      </c>
      <c r="AS17" s="24">
        <f t="shared" si="25"/>
        <v>30</v>
      </c>
      <c r="AT17" s="24">
        <f t="shared" si="25"/>
        <v>30</v>
      </c>
      <c r="AU17" s="24">
        <f t="shared" si="25"/>
        <v>30</v>
      </c>
      <c r="AV17" s="24">
        <f t="shared" si="25"/>
        <v>30</v>
      </c>
      <c r="AW17" s="24">
        <f t="shared" si="25"/>
        <v>30</v>
      </c>
      <c r="AX17" s="24">
        <f t="shared" si="25"/>
        <v>30</v>
      </c>
      <c r="AY17" s="24">
        <f t="shared" si="25"/>
        <v>30</v>
      </c>
      <c r="AZ17" s="24">
        <f t="shared" si="25"/>
        <v>30</v>
      </c>
      <c r="BA17" s="24">
        <f t="shared" si="25"/>
        <v>30</v>
      </c>
      <c r="BB17" s="24">
        <f t="shared" si="25"/>
        <v>30</v>
      </c>
      <c r="BC17" s="25">
        <f>BC16</f>
        <v>30</v>
      </c>
    </row>
    <row r="18" spans="1:55" x14ac:dyDescent="0.2">
      <c r="A18" s="18">
        <f t="shared" si="0"/>
        <v>16</v>
      </c>
      <c r="B18" s="19">
        <v>5</v>
      </c>
      <c r="D18" s="20">
        <f t="shared" si="1"/>
        <v>16</v>
      </c>
      <c r="E18" s="21">
        <f t="shared" si="21"/>
        <v>0</v>
      </c>
      <c r="F18" s="21">
        <f t="shared" si="21"/>
        <v>0</v>
      </c>
      <c r="G18" s="21">
        <f t="shared" si="21"/>
        <v>0</v>
      </c>
      <c r="H18" s="21">
        <f t="shared" si="21"/>
        <v>1</v>
      </c>
      <c r="I18" s="21">
        <f t="shared" si="21"/>
        <v>2</v>
      </c>
      <c r="J18" s="21">
        <f t="shared" si="21"/>
        <v>2</v>
      </c>
      <c r="K18" s="21">
        <f t="shared" si="21"/>
        <v>3</v>
      </c>
      <c r="L18" s="21">
        <f t="shared" si="21"/>
        <v>3</v>
      </c>
      <c r="M18" s="21">
        <f t="shared" si="21"/>
        <v>3</v>
      </c>
      <c r="N18" s="21">
        <f t="shared" si="21"/>
        <v>3</v>
      </c>
      <c r="O18" s="21">
        <f t="shared" si="22"/>
        <v>5</v>
      </c>
      <c r="P18" s="21">
        <f t="shared" si="22"/>
        <v>5</v>
      </c>
      <c r="Q18" s="21">
        <f t="shared" si="22"/>
        <v>5</v>
      </c>
      <c r="R18" s="21">
        <f t="shared" si="22"/>
        <v>5</v>
      </c>
      <c r="S18" s="21">
        <f t="shared" si="22"/>
        <v>7</v>
      </c>
      <c r="T18" s="21">
        <f t="shared" si="22"/>
        <v>7</v>
      </c>
      <c r="U18" s="21">
        <f t="shared" si="22"/>
        <v>7</v>
      </c>
      <c r="V18" s="21">
        <f t="shared" si="22"/>
        <v>7</v>
      </c>
      <c r="W18" s="21">
        <f t="shared" si="22"/>
        <v>7</v>
      </c>
      <c r="X18" s="21">
        <f t="shared" si="22"/>
        <v>9</v>
      </c>
      <c r="Y18" s="21">
        <f t="shared" si="23"/>
        <v>9</v>
      </c>
      <c r="Z18" s="21">
        <f t="shared" si="23"/>
        <v>9</v>
      </c>
      <c r="AA18" s="21">
        <f t="shared" si="23"/>
        <v>10</v>
      </c>
      <c r="AB18" s="21">
        <f t="shared" si="23"/>
        <v>10</v>
      </c>
      <c r="AC18" s="21">
        <f t="shared" si="23"/>
        <v>10</v>
      </c>
      <c r="AD18" s="21">
        <f t="shared" si="23"/>
        <v>10</v>
      </c>
      <c r="AE18" s="21">
        <f t="shared" si="23"/>
        <v>12</v>
      </c>
      <c r="AF18" s="21">
        <f t="shared" si="23"/>
        <v>12</v>
      </c>
      <c r="AG18" s="21">
        <f t="shared" si="23"/>
        <v>12</v>
      </c>
      <c r="AH18" s="21">
        <f t="shared" si="23"/>
        <v>12</v>
      </c>
      <c r="AI18" s="24">
        <f t="shared" si="24"/>
        <v>30</v>
      </c>
      <c r="AJ18" s="24">
        <f t="shared" si="24"/>
        <v>30</v>
      </c>
      <c r="AK18" s="24">
        <f t="shared" si="24"/>
        <v>30</v>
      </c>
      <c r="AL18" s="24">
        <f t="shared" si="24"/>
        <v>30</v>
      </c>
      <c r="AM18" s="24">
        <f t="shared" si="24"/>
        <v>30</v>
      </c>
      <c r="AN18" s="24">
        <f t="shared" si="24"/>
        <v>30</v>
      </c>
      <c r="AO18" s="24">
        <f t="shared" si="24"/>
        <v>30</v>
      </c>
      <c r="AP18" s="24">
        <f t="shared" si="24"/>
        <v>30</v>
      </c>
      <c r="AQ18" s="24">
        <f t="shared" si="24"/>
        <v>30</v>
      </c>
      <c r="AR18" s="24">
        <f t="shared" si="24"/>
        <v>30</v>
      </c>
      <c r="AS18" s="24">
        <f t="shared" si="25"/>
        <v>30</v>
      </c>
      <c r="AT18" s="24">
        <f t="shared" si="25"/>
        <v>30</v>
      </c>
      <c r="AU18" s="24">
        <f t="shared" si="25"/>
        <v>30</v>
      </c>
      <c r="AV18" s="24">
        <f t="shared" si="25"/>
        <v>30</v>
      </c>
      <c r="AW18" s="24">
        <f t="shared" si="25"/>
        <v>30</v>
      </c>
      <c r="AX18" s="24">
        <f t="shared" si="25"/>
        <v>30</v>
      </c>
      <c r="AY18" s="24">
        <f t="shared" si="25"/>
        <v>30</v>
      </c>
      <c r="AZ18" s="24">
        <f t="shared" si="25"/>
        <v>30</v>
      </c>
      <c r="BA18" s="24">
        <f t="shared" si="25"/>
        <v>30</v>
      </c>
      <c r="BB18" s="24">
        <f t="shared" si="25"/>
        <v>30</v>
      </c>
      <c r="BC18" s="25">
        <f>BC17</f>
        <v>30</v>
      </c>
    </row>
    <row r="19" spans="1:55" x14ac:dyDescent="0.2">
      <c r="A19" s="18">
        <f t="shared" si="0"/>
        <v>17</v>
      </c>
      <c r="B19" s="19">
        <v>5</v>
      </c>
      <c r="D19" s="20">
        <f t="shared" si="1"/>
        <v>17</v>
      </c>
      <c r="E19" s="21">
        <f t="shared" si="21"/>
        <v>0</v>
      </c>
      <c r="F19" s="21">
        <f t="shared" si="21"/>
        <v>0</v>
      </c>
      <c r="G19" s="21">
        <f t="shared" si="21"/>
        <v>0</v>
      </c>
      <c r="H19" s="21">
        <f t="shared" si="21"/>
        <v>1</v>
      </c>
      <c r="I19" s="21">
        <f t="shared" si="21"/>
        <v>2</v>
      </c>
      <c r="J19" s="21">
        <f t="shared" si="21"/>
        <v>2</v>
      </c>
      <c r="K19" s="21">
        <f t="shared" si="21"/>
        <v>3</v>
      </c>
      <c r="L19" s="21">
        <f t="shared" si="21"/>
        <v>3</v>
      </c>
      <c r="M19" s="21">
        <f t="shared" si="21"/>
        <v>3</v>
      </c>
      <c r="N19" s="21">
        <f t="shared" si="21"/>
        <v>3</v>
      </c>
      <c r="O19" s="21">
        <f t="shared" si="22"/>
        <v>5</v>
      </c>
      <c r="P19" s="21">
        <f t="shared" si="22"/>
        <v>5</v>
      </c>
      <c r="Q19" s="21">
        <f t="shared" si="22"/>
        <v>5</v>
      </c>
      <c r="R19" s="21">
        <f t="shared" si="22"/>
        <v>5</v>
      </c>
      <c r="S19" s="21">
        <f t="shared" si="22"/>
        <v>7</v>
      </c>
      <c r="T19" s="21">
        <f t="shared" si="22"/>
        <v>7</v>
      </c>
      <c r="U19" s="21">
        <f t="shared" si="22"/>
        <v>7</v>
      </c>
      <c r="V19" s="21">
        <f t="shared" si="22"/>
        <v>7</v>
      </c>
      <c r="W19" s="21">
        <f t="shared" si="22"/>
        <v>7</v>
      </c>
      <c r="X19" s="21">
        <f t="shared" si="22"/>
        <v>9</v>
      </c>
      <c r="Y19" s="21">
        <f t="shared" si="23"/>
        <v>9</v>
      </c>
      <c r="Z19" s="21">
        <f t="shared" si="23"/>
        <v>9</v>
      </c>
      <c r="AA19" s="21">
        <f t="shared" si="23"/>
        <v>10</v>
      </c>
      <c r="AB19" s="21">
        <f t="shared" si="23"/>
        <v>10</v>
      </c>
      <c r="AC19" s="21">
        <f t="shared" si="23"/>
        <v>10</v>
      </c>
      <c r="AD19" s="21">
        <f t="shared" si="23"/>
        <v>10</v>
      </c>
      <c r="AE19" s="21">
        <f t="shared" si="23"/>
        <v>12</v>
      </c>
      <c r="AF19" s="21">
        <f t="shared" si="23"/>
        <v>12</v>
      </c>
      <c r="AG19" s="21">
        <f t="shared" si="23"/>
        <v>12</v>
      </c>
      <c r="AH19" s="21">
        <f t="shared" si="23"/>
        <v>12</v>
      </c>
      <c r="AI19" s="24">
        <f t="shared" si="24"/>
        <v>30</v>
      </c>
      <c r="AJ19" s="24">
        <f t="shared" si="24"/>
        <v>30</v>
      </c>
      <c r="AK19" s="24">
        <f t="shared" si="24"/>
        <v>30</v>
      </c>
      <c r="AL19" s="24">
        <f t="shared" si="24"/>
        <v>30</v>
      </c>
      <c r="AM19" s="24">
        <f t="shared" si="24"/>
        <v>30</v>
      </c>
      <c r="AN19" s="24">
        <f t="shared" si="24"/>
        <v>30</v>
      </c>
      <c r="AO19" s="24">
        <f t="shared" si="24"/>
        <v>30</v>
      </c>
      <c r="AP19" s="24">
        <f t="shared" si="24"/>
        <v>30</v>
      </c>
      <c r="AQ19" s="24">
        <f t="shared" si="24"/>
        <v>30</v>
      </c>
      <c r="AR19" s="24">
        <f t="shared" si="24"/>
        <v>30</v>
      </c>
      <c r="AS19" s="24">
        <f t="shared" si="25"/>
        <v>30</v>
      </c>
      <c r="AT19" s="24">
        <f t="shared" si="25"/>
        <v>30</v>
      </c>
      <c r="AU19" s="24">
        <f t="shared" si="25"/>
        <v>30</v>
      </c>
      <c r="AV19" s="24">
        <f t="shared" si="25"/>
        <v>30</v>
      </c>
      <c r="AW19" s="24">
        <f t="shared" si="25"/>
        <v>30</v>
      </c>
      <c r="AX19" s="24">
        <f t="shared" si="25"/>
        <v>30</v>
      </c>
      <c r="AY19" s="24">
        <f t="shared" si="25"/>
        <v>30</v>
      </c>
      <c r="AZ19" s="24">
        <f t="shared" si="25"/>
        <v>30</v>
      </c>
      <c r="BA19" s="24">
        <f t="shared" si="25"/>
        <v>30</v>
      </c>
      <c r="BB19" s="24">
        <f t="shared" si="25"/>
        <v>30</v>
      </c>
      <c r="BC19" s="25">
        <f>BC18</f>
        <v>30</v>
      </c>
    </row>
    <row r="20" spans="1:55" x14ac:dyDescent="0.2">
      <c r="A20" s="23">
        <f t="shared" si="0"/>
        <v>18</v>
      </c>
      <c r="B20" s="19">
        <v>6</v>
      </c>
      <c r="D20" s="26">
        <f t="shared" si="1"/>
        <v>18</v>
      </c>
      <c r="E20" s="21">
        <v>0</v>
      </c>
      <c r="F20" s="21">
        <v>0</v>
      </c>
      <c r="G20" s="21">
        <v>0</v>
      </c>
      <c r="H20" s="21">
        <v>0</v>
      </c>
      <c r="I20" s="21">
        <v>1</v>
      </c>
      <c r="J20" s="21">
        <v>1</v>
      </c>
      <c r="K20" s="21">
        <v>2</v>
      </c>
      <c r="L20" s="21">
        <v>2</v>
      </c>
      <c r="M20" s="21">
        <v>3</v>
      </c>
      <c r="N20" s="21">
        <v>3</v>
      </c>
      <c r="O20" s="21">
        <v>3</v>
      </c>
      <c r="P20" s="21">
        <v>3</v>
      </c>
      <c r="Q20" s="21">
        <v>5</v>
      </c>
      <c r="R20" s="21">
        <v>5</v>
      </c>
      <c r="S20" s="21">
        <v>5</v>
      </c>
      <c r="T20" s="21">
        <v>5</v>
      </c>
      <c r="U20" s="21">
        <v>5</v>
      </c>
      <c r="V20" s="21">
        <v>5</v>
      </c>
      <c r="W20" s="21">
        <v>7</v>
      </c>
      <c r="X20" s="21">
        <v>7</v>
      </c>
      <c r="Y20" s="21">
        <v>7</v>
      </c>
      <c r="Z20" s="21">
        <v>7</v>
      </c>
      <c r="AA20" s="21">
        <v>7</v>
      </c>
      <c r="AB20" s="21">
        <v>7</v>
      </c>
      <c r="AC20" s="21">
        <v>9</v>
      </c>
      <c r="AD20" s="21">
        <v>9</v>
      </c>
      <c r="AE20" s="21">
        <v>9</v>
      </c>
      <c r="AF20" s="21">
        <v>9</v>
      </c>
      <c r="AG20" s="21">
        <v>10</v>
      </c>
      <c r="AH20" s="21">
        <v>10</v>
      </c>
      <c r="AI20" s="21">
        <v>12</v>
      </c>
      <c r="AJ20" s="21">
        <v>12</v>
      </c>
      <c r="AK20" s="24">
        <v>30</v>
      </c>
      <c r="AL20" s="24">
        <f t="shared" ref="AL20:BC20" si="26">AK20</f>
        <v>30</v>
      </c>
      <c r="AM20" s="24">
        <f t="shared" si="26"/>
        <v>30</v>
      </c>
      <c r="AN20" s="24">
        <f t="shared" si="26"/>
        <v>30</v>
      </c>
      <c r="AO20" s="24">
        <f t="shared" si="26"/>
        <v>30</v>
      </c>
      <c r="AP20" s="24">
        <f t="shared" si="26"/>
        <v>30</v>
      </c>
      <c r="AQ20" s="24">
        <f t="shared" si="26"/>
        <v>30</v>
      </c>
      <c r="AR20" s="24">
        <f t="shared" si="26"/>
        <v>30</v>
      </c>
      <c r="AS20" s="24">
        <f t="shared" si="26"/>
        <v>30</v>
      </c>
      <c r="AT20" s="24">
        <f t="shared" si="26"/>
        <v>30</v>
      </c>
      <c r="AU20" s="24">
        <f t="shared" si="26"/>
        <v>30</v>
      </c>
      <c r="AV20" s="24">
        <f t="shared" si="26"/>
        <v>30</v>
      </c>
      <c r="AW20" s="24">
        <f t="shared" si="26"/>
        <v>30</v>
      </c>
      <c r="AX20" s="24">
        <f t="shared" si="26"/>
        <v>30</v>
      </c>
      <c r="AY20" s="24">
        <f t="shared" si="26"/>
        <v>30</v>
      </c>
      <c r="AZ20" s="24">
        <f t="shared" si="26"/>
        <v>30</v>
      </c>
      <c r="BA20" s="24">
        <f t="shared" si="26"/>
        <v>30</v>
      </c>
      <c r="BB20" s="24">
        <f t="shared" si="26"/>
        <v>30</v>
      </c>
      <c r="BC20" s="25">
        <f t="shared" si="26"/>
        <v>30</v>
      </c>
    </row>
    <row r="21" spans="1:55" x14ac:dyDescent="0.2">
      <c r="A21" s="18">
        <f t="shared" si="0"/>
        <v>19</v>
      </c>
      <c r="B21" s="19">
        <v>6</v>
      </c>
      <c r="D21" s="20">
        <f t="shared" si="1"/>
        <v>19</v>
      </c>
      <c r="E21" s="21">
        <f t="shared" ref="E21:N22" si="27">E20</f>
        <v>0</v>
      </c>
      <c r="F21" s="21">
        <f t="shared" si="27"/>
        <v>0</v>
      </c>
      <c r="G21" s="21">
        <f t="shared" si="27"/>
        <v>0</v>
      </c>
      <c r="H21" s="21">
        <f t="shared" si="27"/>
        <v>0</v>
      </c>
      <c r="I21" s="21">
        <f t="shared" si="27"/>
        <v>1</v>
      </c>
      <c r="J21" s="21">
        <f t="shared" si="27"/>
        <v>1</v>
      </c>
      <c r="K21" s="21">
        <f t="shared" si="27"/>
        <v>2</v>
      </c>
      <c r="L21" s="21">
        <f t="shared" si="27"/>
        <v>2</v>
      </c>
      <c r="M21" s="21">
        <f t="shared" si="27"/>
        <v>3</v>
      </c>
      <c r="N21" s="21">
        <f t="shared" si="27"/>
        <v>3</v>
      </c>
      <c r="O21" s="21">
        <f t="shared" ref="O21:X22" si="28">O20</f>
        <v>3</v>
      </c>
      <c r="P21" s="21">
        <f t="shared" si="28"/>
        <v>3</v>
      </c>
      <c r="Q21" s="21">
        <f t="shared" si="28"/>
        <v>5</v>
      </c>
      <c r="R21" s="21">
        <f t="shared" si="28"/>
        <v>5</v>
      </c>
      <c r="S21" s="21">
        <f t="shared" si="28"/>
        <v>5</v>
      </c>
      <c r="T21" s="21">
        <f t="shared" si="28"/>
        <v>5</v>
      </c>
      <c r="U21" s="21">
        <f t="shared" si="28"/>
        <v>5</v>
      </c>
      <c r="V21" s="21">
        <f t="shared" si="28"/>
        <v>5</v>
      </c>
      <c r="W21" s="21">
        <f t="shared" si="28"/>
        <v>7</v>
      </c>
      <c r="X21" s="21">
        <f t="shared" si="28"/>
        <v>7</v>
      </c>
      <c r="Y21" s="21">
        <f t="shared" ref="Y21:AH22" si="29">Y20</f>
        <v>7</v>
      </c>
      <c r="Z21" s="21">
        <f t="shared" si="29"/>
        <v>7</v>
      </c>
      <c r="AA21" s="21">
        <f t="shared" si="29"/>
        <v>7</v>
      </c>
      <c r="AB21" s="21">
        <f t="shared" si="29"/>
        <v>7</v>
      </c>
      <c r="AC21" s="21">
        <f t="shared" si="29"/>
        <v>9</v>
      </c>
      <c r="AD21" s="21">
        <f t="shared" si="29"/>
        <v>9</v>
      </c>
      <c r="AE21" s="21">
        <f t="shared" si="29"/>
        <v>9</v>
      </c>
      <c r="AF21" s="21">
        <f t="shared" si="29"/>
        <v>9</v>
      </c>
      <c r="AG21" s="21">
        <f t="shared" si="29"/>
        <v>10</v>
      </c>
      <c r="AH21" s="21">
        <f t="shared" si="29"/>
        <v>10</v>
      </c>
      <c r="AI21" s="21">
        <f t="shared" ref="AI21:AR22" si="30">AI20</f>
        <v>12</v>
      </c>
      <c r="AJ21" s="21">
        <f t="shared" si="30"/>
        <v>12</v>
      </c>
      <c r="AK21" s="24">
        <f t="shared" si="30"/>
        <v>30</v>
      </c>
      <c r="AL21" s="24">
        <f t="shared" si="30"/>
        <v>30</v>
      </c>
      <c r="AM21" s="24">
        <f t="shared" si="30"/>
        <v>30</v>
      </c>
      <c r="AN21" s="24">
        <f t="shared" si="30"/>
        <v>30</v>
      </c>
      <c r="AO21" s="24">
        <f t="shared" si="30"/>
        <v>30</v>
      </c>
      <c r="AP21" s="24">
        <f t="shared" si="30"/>
        <v>30</v>
      </c>
      <c r="AQ21" s="24">
        <f t="shared" si="30"/>
        <v>30</v>
      </c>
      <c r="AR21" s="24">
        <f t="shared" si="30"/>
        <v>30</v>
      </c>
      <c r="AS21" s="24">
        <f t="shared" ref="AS21:BB22" si="31">AS20</f>
        <v>30</v>
      </c>
      <c r="AT21" s="24">
        <f t="shared" si="31"/>
        <v>30</v>
      </c>
      <c r="AU21" s="24">
        <f t="shared" si="31"/>
        <v>30</v>
      </c>
      <c r="AV21" s="24">
        <f t="shared" si="31"/>
        <v>30</v>
      </c>
      <c r="AW21" s="24">
        <f t="shared" si="31"/>
        <v>30</v>
      </c>
      <c r="AX21" s="24">
        <f t="shared" si="31"/>
        <v>30</v>
      </c>
      <c r="AY21" s="24">
        <f t="shared" si="31"/>
        <v>30</v>
      </c>
      <c r="AZ21" s="24">
        <f t="shared" si="31"/>
        <v>30</v>
      </c>
      <c r="BA21" s="24">
        <f t="shared" si="31"/>
        <v>30</v>
      </c>
      <c r="BB21" s="24">
        <f t="shared" si="31"/>
        <v>30</v>
      </c>
      <c r="BC21" s="25">
        <f>BC20</f>
        <v>30</v>
      </c>
    </row>
    <row r="22" spans="1:55" x14ac:dyDescent="0.2">
      <c r="A22" s="18">
        <f t="shared" si="0"/>
        <v>20</v>
      </c>
      <c r="B22" s="19">
        <v>6</v>
      </c>
      <c r="D22" s="20">
        <f t="shared" si="1"/>
        <v>20</v>
      </c>
      <c r="E22" s="21">
        <f t="shared" si="27"/>
        <v>0</v>
      </c>
      <c r="F22" s="21">
        <f t="shared" si="27"/>
        <v>0</v>
      </c>
      <c r="G22" s="21">
        <f t="shared" si="27"/>
        <v>0</v>
      </c>
      <c r="H22" s="21">
        <f t="shared" si="27"/>
        <v>0</v>
      </c>
      <c r="I22" s="21">
        <f t="shared" si="27"/>
        <v>1</v>
      </c>
      <c r="J22" s="21">
        <f t="shared" si="27"/>
        <v>1</v>
      </c>
      <c r="K22" s="21">
        <f t="shared" si="27"/>
        <v>2</v>
      </c>
      <c r="L22" s="21">
        <f t="shared" si="27"/>
        <v>2</v>
      </c>
      <c r="M22" s="21">
        <f t="shared" si="27"/>
        <v>3</v>
      </c>
      <c r="N22" s="21">
        <f t="shared" si="27"/>
        <v>3</v>
      </c>
      <c r="O22" s="21">
        <f t="shared" si="28"/>
        <v>3</v>
      </c>
      <c r="P22" s="21">
        <f t="shared" si="28"/>
        <v>3</v>
      </c>
      <c r="Q22" s="21">
        <f t="shared" si="28"/>
        <v>5</v>
      </c>
      <c r="R22" s="21">
        <f t="shared" si="28"/>
        <v>5</v>
      </c>
      <c r="S22" s="21">
        <f t="shared" si="28"/>
        <v>5</v>
      </c>
      <c r="T22" s="21">
        <f t="shared" si="28"/>
        <v>5</v>
      </c>
      <c r="U22" s="21">
        <f t="shared" si="28"/>
        <v>5</v>
      </c>
      <c r="V22" s="21">
        <f t="shared" si="28"/>
        <v>5</v>
      </c>
      <c r="W22" s="21">
        <f t="shared" si="28"/>
        <v>7</v>
      </c>
      <c r="X22" s="21">
        <f t="shared" si="28"/>
        <v>7</v>
      </c>
      <c r="Y22" s="21">
        <f t="shared" si="29"/>
        <v>7</v>
      </c>
      <c r="Z22" s="21">
        <f t="shared" si="29"/>
        <v>7</v>
      </c>
      <c r="AA22" s="21">
        <f t="shared" si="29"/>
        <v>7</v>
      </c>
      <c r="AB22" s="21">
        <f t="shared" si="29"/>
        <v>7</v>
      </c>
      <c r="AC22" s="21">
        <f t="shared" si="29"/>
        <v>9</v>
      </c>
      <c r="AD22" s="21">
        <f t="shared" si="29"/>
        <v>9</v>
      </c>
      <c r="AE22" s="21">
        <f t="shared" si="29"/>
        <v>9</v>
      </c>
      <c r="AF22" s="21">
        <f t="shared" si="29"/>
        <v>9</v>
      </c>
      <c r="AG22" s="21">
        <f t="shared" si="29"/>
        <v>10</v>
      </c>
      <c r="AH22" s="21">
        <f t="shared" si="29"/>
        <v>10</v>
      </c>
      <c r="AI22" s="21">
        <f t="shared" si="30"/>
        <v>12</v>
      </c>
      <c r="AJ22" s="21">
        <f t="shared" si="30"/>
        <v>12</v>
      </c>
      <c r="AK22" s="24">
        <f t="shared" si="30"/>
        <v>30</v>
      </c>
      <c r="AL22" s="24">
        <f t="shared" si="30"/>
        <v>30</v>
      </c>
      <c r="AM22" s="24">
        <f t="shared" si="30"/>
        <v>30</v>
      </c>
      <c r="AN22" s="24">
        <f t="shared" si="30"/>
        <v>30</v>
      </c>
      <c r="AO22" s="24">
        <f t="shared" si="30"/>
        <v>30</v>
      </c>
      <c r="AP22" s="24">
        <f t="shared" si="30"/>
        <v>30</v>
      </c>
      <c r="AQ22" s="24">
        <f t="shared" si="30"/>
        <v>30</v>
      </c>
      <c r="AR22" s="24">
        <f t="shared" si="30"/>
        <v>30</v>
      </c>
      <c r="AS22" s="24">
        <f t="shared" si="31"/>
        <v>30</v>
      </c>
      <c r="AT22" s="24">
        <f t="shared" si="31"/>
        <v>30</v>
      </c>
      <c r="AU22" s="24">
        <f t="shared" si="31"/>
        <v>30</v>
      </c>
      <c r="AV22" s="24">
        <f t="shared" si="31"/>
        <v>30</v>
      </c>
      <c r="AW22" s="24">
        <f t="shared" si="31"/>
        <v>30</v>
      </c>
      <c r="AX22" s="24">
        <f t="shared" si="31"/>
        <v>30</v>
      </c>
      <c r="AY22" s="24">
        <f t="shared" si="31"/>
        <v>30</v>
      </c>
      <c r="AZ22" s="24">
        <f t="shared" si="31"/>
        <v>30</v>
      </c>
      <c r="BA22" s="24">
        <f t="shared" si="31"/>
        <v>30</v>
      </c>
      <c r="BB22" s="24">
        <f t="shared" si="31"/>
        <v>30</v>
      </c>
      <c r="BC22" s="25">
        <f>BC21</f>
        <v>30</v>
      </c>
    </row>
    <row r="23" spans="1:55" x14ac:dyDescent="0.2">
      <c r="A23" s="18">
        <f t="shared" si="0"/>
        <v>21</v>
      </c>
      <c r="B23" s="19">
        <v>6</v>
      </c>
      <c r="D23" s="26">
        <f t="shared" si="1"/>
        <v>21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1</v>
      </c>
      <c r="L23" s="21">
        <v>1</v>
      </c>
      <c r="M23" s="21">
        <v>1</v>
      </c>
      <c r="N23" s="21">
        <v>1</v>
      </c>
      <c r="O23" s="21">
        <v>2</v>
      </c>
      <c r="P23" s="21">
        <v>2</v>
      </c>
      <c r="Q23" s="21">
        <v>2</v>
      </c>
      <c r="R23" s="21">
        <v>3</v>
      </c>
      <c r="S23" s="21">
        <v>3</v>
      </c>
      <c r="T23" s="21">
        <v>3</v>
      </c>
      <c r="U23" s="21">
        <v>3</v>
      </c>
      <c r="V23" s="21">
        <v>5</v>
      </c>
      <c r="W23" s="21">
        <v>5</v>
      </c>
      <c r="X23" s="21">
        <v>5</v>
      </c>
      <c r="Y23" s="21">
        <v>5</v>
      </c>
      <c r="Z23" s="21">
        <v>5</v>
      </c>
      <c r="AA23" s="21">
        <v>5</v>
      </c>
      <c r="AB23" s="21">
        <v>7</v>
      </c>
      <c r="AC23" s="21">
        <v>7</v>
      </c>
      <c r="AD23" s="21">
        <v>7</v>
      </c>
      <c r="AE23" s="21">
        <v>7</v>
      </c>
      <c r="AF23" s="21">
        <v>7</v>
      </c>
      <c r="AG23" s="21">
        <v>7</v>
      </c>
      <c r="AH23" s="21">
        <v>7</v>
      </c>
      <c r="AI23" s="21">
        <v>9</v>
      </c>
      <c r="AJ23" s="21">
        <v>9</v>
      </c>
      <c r="AK23" s="21">
        <v>9</v>
      </c>
      <c r="AL23" s="21">
        <v>10</v>
      </c>
      <c r="AM23" s="21">
        <v>10</v>
      </c>
      <c r="AN23" s="21">
        <v>10</v>
      </c>
      <c r="AO23" s="21">
        <v>12</v>
      </c>
      <c r="AP23" s="21">
        <v>12</v>
      </c>
      <c r="AQ23" s="24">
        <v>30</v>
      </c>
      <c r="AR23" s="24">
        <f t="shared" ref="AR23:BC23" si="32">AQ23</f>
        <v>30</v>
      </c>
      <c r="AS23" s="24">
        <f t="shared" si="32"/>
        <v>30</v>
      </c>
      <c r="AT23" s="24">
        <f t="shared" si="32"/>
        <v>30</v>
      </c>
      <c r="AU23" s="24">
        <f t="shared" si="32"/>
        <v>30</v>
      </c>
      <c r="AV23" s="24">
        <f t="shared" si="32"/>
        <v>30</v>
      </c>
      <c r="AW23" s="24">
        <f t="shared" si="32"/>
        <v>30</v>
      </c>
      <c r="AX23" s="24">
        <f t="shared" si="32"/>
        <v>30</v>
      </c>
      <c r="AY23" s="24">
        <f t="shared" si="32"/>
        <v>30</v>
      </c>
      <c r="AZ23" s="24">
        <f t="shared" si="32"/>
        <v>30</v>
      </c>
      <c r="BA23" s="24">
        <f t="shared" si="32"/>
        <v>30</v>
      </c>
      <c r="BB23" s="24">
        <f t="shared" si="32"/>
        <v>30</v>
      </c>
      <c r="BC23" s="25">
        <f t="shared" si="32"/>
        <v>30</v>
      </c>
    </row>
    <row r="24" spans="1:55" x14ac:dyDescent="0.2">
      <c r="A24" s="23">
        <f t="shared" si="0"/>
        <v>22</v>
      </c>
      <c r="B24" s="19">
        <v>7</v>
      </c>
      <c r="D24" s="20">
        <f t="shared" si="1"/>
        <v>22</v>
      </c>
      <c r="E24" s="21">
        <f t="shared" ref="E24:N25" si="33">E23</f>
        <v>0</v>
      </c>
      <c r="F24" s="21">
        <f t="shared" si="33"/>
        <v>0</v>
      </c>
      <c r="G24" s="21">
        <f t="shared" si="33"/>
        <v>0</v>
      </c>
      <c r="H24" s="21">
        <f t="shared" si="33"/>
        <v>0</v>
      </c>
      <c r="I24" s="21">
        <f t="shared" si="33"/>
        <v>0</v>
      </c>
      <c r="J24" s="21">
        <f t="shared" si="33"/>
        <v>0</v>
      </c>
      <c r="K24" s="21">
        <f t="shared" si="33"/>
        <v>1</v>
      </c>
      <c r="L24" s="21">
        <f t="shared" si="33"/>
        <v>1</v>
      </c>
      <c r="M24" s="21">
        <f t="shared" si="33"/>
        <v>1</v>
      </c>
      <c r="N24" s="21">
        <f t="shared" si="33"/>
        <v>1</v>
      </c>
      <c r="O24" s="21">
        <f t="shared" ref="O24:X25" si="34">O23</f>
        <v>2</v>
      </c>
      <c r="P24" s="21">
        <f t="shared" si="34"/>
        <v>2</v>
      </c>
      <c r="Q24" s="21">
        <f t="shared" si="34"/>
        <v>2</v>
      </c>
      <c r="R24" s="21">
        <f t="shared" si="34"/>
        <v>3</v>
      </c>
      <c r="S24" s="21">
        <f t="shared" si="34"/>
        <v>3</v>
      </c>
      <c r="T24" s="21">
        <f t="shared" si="34"/>
        <v>3</v>
      </c>
      <c r="U24" s="21">
        <f t="shared" si="34"/>
        <v>3</v>
      </c>
      <c r="V24" s="21">
        <f t="shared" si="34"/>
        <v>5</v>
      </c>
      <c r="W24" s="21">
        <f t="shared" si="34"/>
        <v>5</v>
      </c>
      <c r="X24" s="21">
        <f t="shared" si="34"/>
        <v>5</v>
      </c>
      <c r="Y24" s="21">
        <f t="shared" ref="Y24:AH25" si="35">Y23</f>
        <v>5</v>
      </c>
      <c r="Z24" s="21">
        <f t="shared" si="35"/>
        <v>5</v>
      </c>
      <c r="AA24" s="21">
        <f t="shared" si="35"/>
        <v>5</v>
      </c>
      <c r="AB24" s="21">
        <f t="shared" si="35"/>
        <v>7</v>
      </c>
      <c r="AC24" s="21">
        <f t="shared" si="35"/>
        <v>7</v>
      </c>
      <c r="AD24" s="21">
        <f t="shared" si="35"/>
        <v>7</v>
      </c>
      <c r="AE24" s="21">
        <f t="shared" si="35"/>
        <v>7</v>
      </c>
      <c r="AF24" s="21">
        <f t="shared" si="35"/>
        <v>7</v>
      </c>
      <c r="AG24" s="21">
        <f t="shared" si="35"/>
        <v>7</v>
      </c>
      <c r="AH24" s="21">
        <f t="shared" si="35"/>
        <v>7</v>
      </c>
      <c r="AI24" s="21">
        <f t="shared" ref="AI24:AR25" si="36">AI23</f>
        <v>9</v>
      </c>
      <c r="AJ24" s="21">
        <f t="shared" si="36"/>
        <v>9</v>
      </c>
      <c r="AK24" s="21">
        <f t="shared" si="36"/>
        <v>9</v>
      </c>
      <c r="AL24" s="21">
        <f t="shared" si="36"/>
        <v>10</v>
      </c>
      <c r="AM24" s="21">
        <f t="shared" si="36"/>
        <v>10</v>
      </c>
      <c r="AN24" s="21">
        <f t="shared" si="36"/>
        <v>10</v>
      </c>
      <c r="AO24" s="21">
        <f t="shared" si="36"/>
        <v>12</v>
      </c>
      <c r="AP24" s="21">
        <f t="shared" si="36"/>
        <v>12</v>
      </c>
      <c r="AQ24" s="24">
        <f t="shared" si="36"/>
        <v>30</v>
      </c>
      <c r="AR24" s="24">
        <f t="shared" si="36"/>
        <v>30</v>
      </c>
      <c r="AS24" s="24">
        <f t="shared" ref="AS24:BB25" si="37">AS23</f>
        <v>30</v>
      </c>
      <c r="AT24" s="24">
        <f t="shared" si="37"/>
        <v>30</v>
      </c>
      <c r="AU24" s="24">
        <f t="shared" si="37"/>
        <v>30</v>
      </c>
      <c r="AV24" s="24">
        <f t="shared" si="37"/>
        <v>30</v>
      </c>
      <c r="AW24" s="24">
        <f t="shared" si="37"/>
        <v>30</v>
      </c>
      <c r="AX24" s="24">
        <f t="shared" si="37"/>
        <v>30</v>
      </c>
      <c r="AY24" s="24">
        <f t="shared" si="37"/>
        <v>30</v>
      </c>
      <c r="AZ24" s="24">
        <f t="shared" si="37"/>
        <v>30</v>
      </c>
      <c r="BA24" s="24">
        <f t="shared" si="37"/>
        <v>30</v>
      </c>
      <c r="BB24" s="24">
        <f t="shared" si="37"/>
        <v>30</v>
      </c>
      <c r="BC24" s="25">
        <f>BC23</f>
        <v>30</v>
      </c>
    </row>
    <row r="25" spans="1:55" x14ac:dyDescent="0.2">
      <c r="A25" s="18">
        <f t="shared" si="0"/>
        <v>23</v>
      </c>
      <c r="B25" s="19">
        <v>7</v>
      </c>
      <c r="D25" s="20">
        <f t="shared" si="1"/>
        <v>23</v>
      </c>
      <c r="E25" s="21">
        <f t="shared" si="33"/>
        <v>0</v>
      </c>
      <c r="F25" s="21">
        <f t="shared" si="33"/>
        <v>0</v>
      </c>
      <c r="G25" s="21">
        <f t="shared" si="33"/>
        <v>0</v>
      </c>
      <c r="H25" s="21">
        <f t="shared" si="33"/>
        <v>0</v>
      </c>
      <c r="I25" s="21">
        <f t="shared" si="33"/>
        <v>0</v>
      </c>
      <c r="J25" s="21">
        <f t="shared" si="33"/>
        <v>0</v>
      </c>
      <c r="K25" s="21">
        <f t="shared" si="33"/>
        <v>1</v>
      </c>
      <c r="L25" s="21">
        <f t="shared" si="33"/>
        <v>1</v>
      </c>
      <c r="M25" s="21">
        <f t="shared" si="33"/>
        <v>1</v>
      </c>
      <c r="N25" s="21">
        <f t="shared" si="33"/>
        <v>1</v>
      </c>
      <c r="O25" s="21">
        <f t="shared" si="34"/>
        <v>2</v>
      </c>
      <c r="P25" s="21">
        <f t="shared" si="34"/>
        <v>2</v>
      </c>
      <c r="Q25" s="21">
        <f t="shared" si="34"/>
        <v>2</v>
      </c>
      <c r="R25" s="21">
        <f t="shared" si="34"/>
        <v>3</v>
      </c>
      <c r="S25" s="21">
        <f t="shared" si="34"/>
        <v>3</v>
      </c>
      <c r="T25" s="21">
        <f t="shared" si="34"/>
        <v>3</v>
      </c>
      <c r="U25" s="21">
        <f t="shared" si="34"/>
        <v>3</v>
      </c>
      <c r="V25" s="21">
        <f t="shared" si="34"/>
        <v>5</v>
      </c>
      <c r="W25" s="21">
        <f t="shared" si="34"/>
        <v>5</v>
      </c>
      <c r="X25" s="21">
        <f t="shared" si="34"/>
        <v>5</v>
      </c>
      <c r="Y25" s="21">
        <f t="shared" si="35"/>
        <v>5</v>
      </c>
      <c r="Z25" s="21">
        <f t="shared" si="35"/>
        <v>5</v>
      </c>
      <c r="AA25" s="21">
        <f t="shared" si="35"/>
        <v>5</v>
      </c>
      <c r="AB25" s="21">
        <f t="shared" si="35"/>
        <v>7</v>
      </c>
      <c r="AC25" s="21">
        <f t="shared" si="35"/>
        <v>7</v>
      </c>
      <c r="AD25" s="21">
        <f t="shared" si="35"/>
        <v>7</v>
      </c>
      <c r="AE25" s="21">
        <f t="shared" si="35"/>
        <v>7</v>
      </c>
      <c r="AF25" s="21">
        <f t="shared" si="35"/>
        <v>7</v>
      </c>
      <c r="AG25" s="21">
        <f t="shared" si="35"/>
        <v>7</v>
      </c>
      <c r="AH25" s="21">
        <f t="shared" si="35"/>
        <v>7</v>
      </c>
      <c r="AI25" s="21">
        <f t="shared" si="36"/>
        <v>9</v>
      </c>
      <c r="AJ25" s="21">
        <f t="shared" si="36"/>
        <v>9</v>
      </c>
      <c r="AK25" s="21">
        <f t="shared" si="36"/>
        <v>9</v>
      </c>
      <c r="AL25" s="21">
        <f t="shared" si="36"/>
        <v>10</v>
      </c>
      <c r="AM25" s="21">
        <f t="shared" si="36"/>
        <v>10</v>
      </c>
      <c r="AN25" s="21">
        <f t="shared" si="36"/>
        <v>10</v>
      </c>
      <c r="AO25" s="21">
        <f t="shared" si="36"/>
        <v>12</v>
      </c>
      <c r="AP25" s="21">
        <f t="shared" si="36"/>
        <v>12</v>
      </c>
      <c r="AQ25" s="24">
        <f t="shared" si="36"/>
        <v>30</v>
      </c>
      <c r="AR25" s="24">
        <f t="shared" si="36"/>
        <v>30</v>
      </c>
      <c r="AS25" s="24">
        <f t="shared" si="37"/>
        <v>30</v>
      </c>
      <c r="AT25" s="24">
        <f t="shared" si="37"/>
        <v>30</v>
      </c>
      <c r="AU25" s="24">
        <f t="shared" si="37"/>
        <v>30</v>
      </c>
      <c r="AV25" s="24">
        <f t="shared" si="37"/>
        <v>30</v>
      </c>
      <c r="AW25" s="24">
        <f t="shared" si="37"/>
        <v>30</v>
      </c>
      <c r="AX25" s="24">
        <f t="shared" si="37"/>
        <v>30</v>
      </c>
      <c r="AY25" s="24">
        <f t="shared" si="37"/>
        <v>30</v>
      </c>
      <c r="AZ25" s="24">
        <f t="shared" si="37"/>
        <v>30</v>
      </c>
      <c r="BA25" s="24">
        <f t="shared" si="37"/>
        <v>30</v>
      </c>
      <c r="BB25" s="24">
        <f t="shared" si="37"/>
        <v>30</v>
      </c>
      <c r="BC25" s="25">
        <f>BC24</f>
        <v>30</v>
      </c>
    </row>
    <row r="26" spans="1:55" x14ac:dyDescent="0.2">
      <c r="A26" s="18">
        <f t="shared" si="0"/>
        <v>24</v>
      </c>
      <c r="B26" s="19">
        <v>7</v>
      </c>
      <c r="D26" s="26">
        <f t="shared" si="1"/>
        <v>24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1</v>
      </c>
      <c r="N26" s="21">
        <v>1</v>
      </c>
      <c r="O26" s="21">
        <v>1</v>
      </c>
      <c r="P26" s="21">
        <v>1</v>
      </c>
      <c r="Q26" s="21">
        <v>2</v>
      </c>
      <c r="R26" s="21">
        <v>2</v>
      </c>
      <c r="S26" s="21">
        <v>2</v>
      </c>
      <c r="T26" s="21">
        <v>3</v>
      </c>
      <c r="U26" s="21">
        <v>3</v>
      </c>
      <c r="V26" s="21">
        <v>3</v>
      </c>
      <c r="W26" s="21">
        <v>3</v>
      </c>
      <c r="X26" s="21">
        <v>3</v>
      </c>
      <c r="Y26" s="21">
        <v>5</v>
      </c>
      <c r="Z26" s="21">
        <v>5</v>
      </c>
      <c r="AA26" s="21">
        <v>5</v>
      </c>
      <c r="AB26" s="21">
        <v>5</v>
      </c>
      <c r="AC26" s="21">
        <v>5</v>
      </c>
      <c r="AD26" s="21">
        <v>5</v>
      </c>
      <c r="AE26" s="21">
        <v>5</v>
      </c>
      <c r="AF26" s="21">
        <v>7</v>
      </c>
      <c r="AG26" s="21">
        <v>7</v>
      </c>
      <c r="AH26" s="21">
        <v>7</v>
      </c>
      <c r="AI26" s="21">
        <v>7</v>
      </c>
      <c r="AJ26" s="21">
        <v>7</v>
      </c>
      <c r="AK26" s="21">
        <v>9</v>
      </c>
      <c r="AL26" s="21">
        <v>9</v>
      </c>
      <c r="AM26" s="21">
        <v>9</v>
      </c>
      <c r="AN26" s="21">
        <v>9</v>
      </c>
      <c r="AO26" s="21">
        <v>10</v>
      </c>
      <c r="AP26" s="21">
        <v>10</v>
      </c>
      <c r="AQ26" s="21">
        <v>10</v>
      </c>
      <c r="AR26" s="21">
        <v>12</v>
      </c>
      <c r="AS26" s="21">
        <v>12</v>
      </c>
      <c r="AT26" s="21">
        <v>12</v>
      </c>
      <c r="AU26" s="24">
        <v>30</v>
      </c>
      <c r="AV26" s="24">
        <f t="shared" ref="AV26:BC26" si="38">AU26</f>
        <v>30</v>
      </c>
      <c r="AW26" s="24">
        <f t="shared" si="38"/>
        <v>30</v>
      </c>
      <c r="AX26" s="24">
        <f t="shared" si="38"/>
        <v>30</v>
      </c>
      <c r="AY26" s="24">
        <f t="shared" si="38"/>
        <v>30</v>
      </c>
      <c r="AZ26" s="24">
        <f t="shared" si="38"/>
        <v>30</v>
      </c>
      <c r="BA26" s="24">
        <f t="shared" si="38"/>
        <v>30</v>
      </c>
      <c r="BB26" s="24">
        <f t="shared" si="38"/>
        <v>30</v>
      </c>
      <c r="BC26" s="25">
        <f t="shared" si="38"/>
        <v>30</v>
      </c>
    </row>
    <row r="27" spans="1:55" x14ac:dyDescent="0.2">
      <c r="A27" s="18">
        <f t="shared" si="0"/>
        <v>25</v>
      </c>
      <c r="B27" s="19">
        <v>7</v>
      </c>
      <c r="D27" s="20">
        <f t="shared" si="1"/>
        <v>25</v>
      </c>
      <c r="E27" s="21">
        <f t="shared" ref="E27:N29" si="39">E26</f>
        <v>0</v>
      </c>
      <c r="F27" s="21">
        <f t="shared" si="39"/>
        <v>0</v>
      </c>
      <c r="G27" s="21">
        <f t="shared" si="39"/>
        <v>0</v>
      </c>
      <c r="H27" s="21">
        <f t="shared" si="39"/>
        <v>0</v>
      </c>
      <c r="I27" s="21">
        <f t="shared" si="39"/>
        <v>0</v>
      </c>
      <c r="J27" s="21">
        <f t="shared" si="39"/>
        <v>0</v>
      </c>
      <c r="K27" s="21">
        <f t="shared" si="39"/>
        <v>0</v>
      </c>
      <c r="L27" s="21">
        <f t="shared" si="39"/>
        <v>0</v>
      </c>
      <c r="M27" s="21">
        <f t="shared" si="39"/>
        <v>1</v>
      </c>
      <c r="N27" s="21">
        <f t="shared" si="39"/>
        <v>1</v>
      </c>
      <c r="O27" s="21">
        <f t="shared" ref="O27:X29" si="40">O26</f>
        <v>1</v>
      </c>
      <c r="P27" s="21">
        <f t="shared" si="40"/>
        <v>1</v>
      </c>
      <c r="Q27" s="21">
        <f t="shared" si="40"/>
        <v>2</v>
      </c>
      <c r="R27" s="21">
        <f t="shared" si="40"/>
        <v>2</v>
      </c>
      <c r="S27" s="21">
        <f t="shared" si="40"/>
        <v>2</v>
      </c>
      <c r="T27" s="21">
        <f t="shared" si="40"/>
        <v>3</v>
      </c>
      <c r="U27" s="21">
        <f t="shared" si="40"/>
        <v>3</v>
      </c>
      <c r="V27" s="21">
        <f t="shared" si="40"/>
        <v>3</v>
      </c>
      <c r="W27" s="21">
        <f t="shared" si="40"/>
        <v>3</v>
      </c>
      <c r="X27" s="21">
        <f t="shared" si="40"/>
        <v>3</v>
      </c>
      <c r="Y27" s="21">
        <f t="shared" ref="Y27:AH29" si="41">Y26</f>
        <v>5</v>
      </c>
      <c r="Z27" s="21">
        <f t="shared" si="41"/>
        <v>5</v>
      </c>
      <c r="AA27" s="21">
        <f t="shared" si="41"/>
        <v>5</v>
      </c>
      <c r="AB27" s="21">
        <f t="shared" si="41"/>
        <v>5</v>
      </c>
      <c r="AC27" s="21">
        <f t="shared" si="41"/>
        <v>5</v>
      </c>
      <c r="AD27" s="21">
        <f t="shared" si="41"/>
        <v>5</v>
      </c>
      <c r="AE27" s="21">
        <f t="shared" si="41"/>
        <v>5</v>
      </c>
      <c r="AF27" s="21">
        <f t="shared" si="41"/>
        <v>7</v>
      </c>
      <c r="AG27" s="21">
        <f t="shared" si="41"/>
        <v>7</v>
      </c>
      <c r="AH27" s="21">
        <f t="shared" si="41"/>
        <v>7</v>
      </c>
      <c r="AI27" s="21">
        <f t="shared" ref="AI27:AR29" si="42">AI26</f>
        <v>7</v>
      </c>
      <c r="AJ27" s="21">
        <f t="shared" si="42"/>
        <v>7</v>
      </c>
      <c r="AK27" s="21">
        <f t="shared" si="42"/>
        <v>9</v>
      </c>
      <c r="AL27" s="21">
        <f t="shared" si="42"/>
        <v>9</v>
      </c>
      <c r="AM27" s="21">
        <f t="shared" si="42"/>
        <v>9</v>
      </c>
      <c r="AN27" s="21">
        <f t="shared" si="42"/>
        <v>9</v>
      </c>
      <c r="AO27" s="21">
        <f t="shared" si="42"/>
        <v>10</v>
      </c>
      <c r="AP27" s="21">
        <f t="shared" si="42"/>
        <v>10</v>
      </c>
      <c r="AQ27" s="21">
        <f t="shared" si="42"/>
        <v>10</v>
      </c>
      <c r="AR27" s="21">
        <f t="shared" si="42"/>
        <v>12</v>
      </c>
      <c r="AS27" s="21">
        <f t="shared" ref="AS27:BB29" si="43">AS26</f>
        <v>12</v>
      </c>
      <c r="AT27" s="21">
        <f t="shared" si="43"/>
        <v>12</v>
      </c>
      <c r="AU27" s="24">
        <f t="shared" si="43"/>
        <v>30</v>
      </c>
      <c r="AV27" s="24">
        <f t="shared" si="43"/>
        <v>30</v>
      </c>
      <c r="AW27" s="24">
        <f t="shared" si="43"/>
        <v>30</v>
      </c>
      <c r="AX27" s="24">
        <f t="shared" si="43"/>
        <v>30</v>
      </c>
      <c r="AY27" s="24">
        <f t="shared" si="43"/>
        <v>30</v>
      </c>
      <c r="AZ27" s="24">
        <f t="shared" si="43"/>
        <v>30</v>
      </c>
      <c r="BA27" s="24">
        <f t="shared" si="43"/>
        <v>30</v>
      </c>
      <c r="BB27" s="24">
        <f t="shared" si="43"/>
        <v>30</v>
      </c>
      <c r="BC27" s="25">
        <f>BC26</f>
        <v>30</v>
      </c>
    </row>
    <row r="28" spans="1:55" x14ac:dyDescent="0.2">
      <c r="A28" s="23">
        <f t="shared" si="0"/>
        <v>26</v>
      </c>
      <c r="B28" s="19">
        <v>8</v>
      </c>
      <c r="D28" s="20">
        <f t="shared" si="1"/>
        <v>26</v>
      </c>
      <c r="E28" s="21">
        <f t="shared" si="39"/>
        <v>0</v>
      </c>
      <c r="F28" s="21">
        <f t="shared" si="39"/>
        <v>0</v>
      </c>
      <c r="G28" s="21">
        <f t="shared" si="39"/>
        <v>0</v>
      </c>
      <c r="H28" s="21">
        <f t="shared" si="39"/>
        <v>0</v>
      </c>
      <c r="I28" s="21">
        <f t="shared" si="39"/>
        <v>0</v>
      </c>
      <c r="J28" s="21">
        <f t="shared" si="39"/>
        <v>0</v>
      </c>
      <c r="K28" s="21">
        <f t="shared" si="39"/>
        <v>0</v>
      </c>
      <c r="L28" s="21">
        <f t="shared" si="39"/>
        <v>0</v>
      </c>
      <c r="M28" s="21">
        <f t="shared" si="39"/>
        <v>1</v>
      </c>
      <c r="N28" s="21">
        <f t="shared" si="39"/>
        <v>1</v>
      </c>
      <c r="O28" s="21">
        <f t="shared" si="40"/>
        <v>1</v>
      </c>
      <c r="P28" s="21">
        <f t="shared" si="40"/>
        <v>1</v>
      </c>
      <c r="Q28" s="21">
        <f t="shared" si="40"/>
        <v>2</v>
      </c>
      <c r="R28" s="21">
        <f t="shared" si="40"/>
        <v>2</v>
      </c>
      <c r="S28" s="21">
        <f t="shared" si="40"/>
        <v>2</v>
      </c>
      <c r="T28" s="21">
        <f t="shared" si="40"/>
        <v>3</v>
      </c>
      <c r="U28" s="21">
        <f t="shared" si="40"/>
        <v>3</v>
      </c>
      <c r="V28" s="21">
        <f t="shared" si="40"/>
        <v>3</v>
      </c>
      <c r="W28" s="21">
        <f t="shared" si="40"/>
        <v>3</v>
      </c>
      <c r="X28" s="21">
        <f t="shared" si="40"/>
        <v>3</v>
      </c>
      <c r="Y28" s="21">
        <f t="shared" si="41"/>
        <v>5</v>
      </c>
      <c r="Z28" s="21">
        <f t="shared" si="41"/>
        <v>5</v>
      </c>
      <c r="AA28" s="21">
        <f t="shared" si="41"/>
        <v>5</v>
      </c>
      <c r="AB28" s="21">
        <f t="shared" si="41"/>
        <v>5</v>
      </c>
      <c r="AC28" s="21">
        <f t="shared" si="41"/>
        <v>5</v>
      </c>
      <c r="AD28" s="21">
        <f t="shared" si="41"/>
        <v>5</v>
      </c>
      <c r="AE28" s="21">
        <f t="shared" si="41"/>
        <v>5</v>
      </c>
      <c r="AF28" s="21">
        <f t="shared" si="41"/>
        <v>7</v>
      </c>
      <c r="AG28" s="21">
        <f t="shared" si="41"/>
        <v>7</v>
      </c>
      <c r="AH28" s="21">
        <f t="shared" si="41"/>
        <v>7</v>
      </c>
      <c r="AI28" s="21">
        <f t="shared" si="42"/>
        <v>7</v>
      </c>
      <c r="AJ28" s="21">
        <f t="shared" si="42"/>
        <v>7</v>
      </c>
      <c r="AK28" s="21">
        <f t="shared" si="42"/>
        <v>9</v>
      </c>
      <c r="AL28" s="21">
        <f t="shared" si="42"/>
        <v>9</v>
      </c>
      <c r="AM28" s="21">
        <f t="shared" si="42"/>
        <v>9</v>
      </c>
      <c r="AN28" s="21">
        <f t="shared" si="42"/>
        <v>9</v>
      </c>
      <c r="AO28" s="21">
        <f t="shared" si="42"/>
        <v>10</v>
      </c>
      <c r="AP28" s="21">
        <f t="shared" si="42"/>
        <v>10</v>
      </c>
      <c r="AQ28" s="21">
        <f t="shared" si="42"/>
        <v>10</v>
      </c>
      <c r="AR28" s="21">
        <f t="shared" si="42"/>
        <v>12</v>
      </c>
      <c r="AS28" s="21">
        <f t="shared" si="43"/>
        <v>12</v>
      </c>
      <c r="AT28" s="21">
        <f t="shared" si="43"/>
        <v>12</v>
      </c>
      <c r="AU28" s="24">
        <f t="shared" si="43"/>
        <v>30</v>
      </c>
      <c r="AV28" s="24">
        <f t="shared" si="43"/>
        <v>30</v>
      </c>
      <c r="AW28" s="24">
        <f t="shared" si="43"/>
        <v>30</v>
      </c>
      <c r="AX28" s="24">
        <f t="shared" si="43"/>
        <v>30</v>
      </c>
      <c r="AY28" s="24">
        <f t="shared" si="43"/>
        <v>30</v>
      </c>
      <c r="AZ28" s="24">
        <f t="shared" si="43"/>
        <v>30</v>
      </c>
      <c r="BA28" s="24">
        <f t="shared" si="43"/>
        <v>30</v>
      </c>
      <c r="BB28" s="24">
        <f t="shared" si="43"/>
        <v>30</v>
      </c>
      <c r="BC28" s="25">
        <f>BC27</f>
        <v>30</v>
      </c>
    </row>
    <row r="29" spans="1:55" x14ac:dyDescent="0.2">
      <c r="A29" s="18">
        <f t="shared" si="0"/>
        <v>27</v>
      </c>
      <c r="B29" s="19">
        <v>8</v>
      </c>
      <c r="D29" s="20">
        <f t="shared" si="1"/>
        <v>27</v>
      </c>
      <c r="E29" s="21">
        <f t="shared" si="39"/>
        <v>0</v>
      </c>
      <c r="F29" s="21">
        <f t="shared" si="39"/>
        <v>0</v>
      </c>
      <c r="G29" s="21">
        <f t="shared" si="39"/>
        <v>0</v>
      </c>
      <c r="H29" s="21">
        <f t="shared" si="39"/>
        <v>0</v>
      </c>
      <c r="I29" s="21">
        <f t="shared" si="39"/>
        <v>0</v>
      </c>
      <c r="J29" s="21">
        <f t="shared" si="39"/>
        <v>0</v>
      </c>
      <c r="K29" s="21">
        <f t="shared" si="39"/>
        <v>0</v>
      </c>
      <c r="L29" s="21">
        <f t="shared" si="39"/>
        <v>0</v>
      </c>
      <c r="M29" s="21">
        <f t="shared" si="39"/>
        <v>1</v>
      </c>
      <c r="N29" s="21">
        <f t="shared" si="39"/>
        <v>1</v>
      </c>
      <c r="O29" s="21">
        <f t="shared" si="40"/>
        <v>1</v>
      </c>
      <c r="P29" s="21">
        <f t="shared" si="40"/>
        <v>1</v>
      </c>
      <c r="Q29" s="21">
        <f t="shared" si="40"/>
        <v>2</v>
      </c>
      <c r="R29" s="21">
        <f t="shared" si="40"/>
        <v>2</v>
      </c>
      <c r="S29" s="21">
        <f t="shared" si="40"/>
        <v>2</v>
      </c>
      <c r="T29" s="21">
        <f t="shared" si="40"/>
        <v>3</v>
      </c>
      <c r="U29" s="21">
        <f t="shared" si="40"/>
        <v>3</v>
      </c>
      <c r="V29" s="21">
        <f t="shared" si="40"/>
        <v>3</v>
      </c>
      <c r="W29" s="21">
        <f t="shared" si="40"/>
        <v>3</v>
      </c>
      <c r="X29" s="21">
        <f t="shared" si="40"/>
        <v>3</v>
      </c>
      <c r="Y29" s="21">
        <f t="shared" si="41"/>
        <v>5</v>
      </c>
      <c r="Z29" s="21">
        <f t="shared" si="41"/>
        <v>5</v>
      </c>
      <c r="AA29" s="21">
        <f t="shared" si="41"/>
        <v>5</v>
      </c>
      <c r="AB29" s="21">
        <f t="shared" si="41"/>
        <v>5</v>
      </c>
      <c r="AC29" s="21">
        <f t="shared" si="41"/>
        <v>5</v>
      </c>
      <c r="AD29" s="21">
        <f t="shared" si="41"/>
        <v>5</v>
      </c>
      <c r="AE29" s="21">
        <f t="shared" si="41"/>
        <v>5</v>
      </c>
      <c r="AF29" s="21">
        <f t="shared" si="41"/>
        <v>7</v>
      </c>
      <c r="AG29" s="21">
        <f t="shared" si="41"/>
        <v>7</v>
      </c>
      <c r="AH29" s="21">
        <f t="shared" si="41"/>
        <v>7</v>
      </c>
      <c r="AI29" s="21">
        <f t="shared" si="42"/>
        <v>7</v>
      </c>
      <c r="AJ29" s="21">
        <f t="shared" si="42"/>
        <v>7</v>
      </c>
      <c r="AK29" s="21">
        <f t="shared" si="42"/>
        <v>9</v>
      </c>
      <c r="AL29" s="21">
        <f t="shared" si="42"/>
        <v>9</v>
      </c>
      <c r="AM29" s="21">
        <f t="shared" si="42"/>
        <v>9</v>
      </c>
      <c r="AN29" s="21">
        <f t="shared" si="42"/>
        <v>9</v>
      </c>
      <c r="AO29" s="21">
        <f t="shared" si="42"/>
        <v>10</v>
      </c>
      <c r="AP29" s="21">
        <f t="shared" si="42"/>
        <v>10</v>
      </c>
      <c r="AQ29" s="21">
        <f t="shared" si="42"/>
        <v>10</v>
      </c>
      <c r="AR29" s="21">
        <f t="shared" si="42"/>
        <v>12</v>
      </c>
      <c r="AS29" s="21">
        <f t="shared" si="43"/>
        <v>12</v>
      </c>
      <c r="AT29" s="21">
        <f t="shared" si="43"/>
        <v>12</v>
      </c>
      <c r="AU29" s="24">
        <f t="shared" si="43"/>
        <v>30</v>
      </c>
      <c r="AV29" s="24">
        <f t="shared" si="43"/>
        <v>30</v>
      </c>
      <c r="AW29" s="24">
        <f t="shared" si="43"/>
        <v>30</v>
      </c>
      <c r="AX29" s="24">
        <f t="shared" si="43"/>
        <v>30</v>
      </c>
      <c r="AY29" s="24">
        <f t="shared" si="43"/>
        <v>30</v>
      </c>
      <c r="AZ29" s="24">
        <f t="shared" si="43"/>
        <v>30</v>
      </c>
      <c r="BA29" s="24">
        <f t="shared" si="43"/>
        <v>30</v>
      </c>
      <c r="BB29" s="24">
        <f t="shared" si="43"/>
        <v>30</v>
      </c>
      <c r="BC29" s="25">
        <f>BC28</f>
        <v>30</v>
      </c>
    </row>
    <row r="30" spans="1:55" x14ac:dyDescent="0.2">
      <c r="A30" s="23">
        <f t="shared" si="0"/>
        <v>28</v>
      </c>
      <c r="B30" s="19">
        <v>9</v>
      </c>
      <c r="D30" s="26">
        <f t="shared" si="1"/>
        <v>28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1">
        <v>0</v>
      </c>
      <c r="N30" s="21">
        <v>0</v>
      </c>
      <c r="O30" s="21">
        <v>0</v>
      </c>
      <c r="P30" s="21">
        <v>1</v>
      </c>
      <c r="Q30" s="21">
        <v>1</v>
      </c>
      <c r="R30" s="21">
        <v>1</v>
      </c>
      <c r="S30" s="21">
        <v>1</v>
      </c>
      <c r="T30" s="21">
        <v>2</v>
      </c>
      <c r="U30" s="21">
        <v>2</v>
      </c>
      <c r="V30" s="21">
        <v>2</v>
      </c>
      <c r="W30" s="21">
        <v>2</v>
      </c>
      <c r="X30" s="21">
        <v>2</v>
      </c>
      <c r="Y30" s="21">
        <v>3</v>
      </c>
      <c r="Z30" s="21">
        <v>3</v>
      </c>
      <c r="AA30" s="21">
        <v>3</v>
      </c>
      <c r="AB30" s="21">
        <v>3</v>
      </c>
      <c r="AC30" s="21">
        <v>5</v>
      </c>
      <c r="AD30" s="21">
        <v>5</v>
      </c>
      <c r="AE30" s="21">
        <v>5</v>
      </c>
      <c r="AF30" s="21">
        <v>5</v>
      </c>
      <c r="AG30" s="21">
        <v>5</v>
      </c>
      <c r="AH30" s="21">
        <v>5</v>
      </c>
      <c r="AI30" s="21">
        <v>7</v>
      </c>
      <c r="AJ30" s="21">
        <v>7</v>
      </c>
      <c r="AK30" s="21">
        <v>7</v>
      </c>
      <c r="AL30" s="21">
        <v>7</v>
      </c>
      <c r="AM30" s="21">
        <v>7</v>
      </c>
      <c r="AN30" s="21">
        <v>9</v>
      </c>
      <c r="AO30" s="21">
        <v>9</v>
      </c>
      <c r="AP30" s="21">
        <v>9</v>
      </c>
      <c r="AQ30" s="21">
        <v>10</v>
      </c>
      <c r="AR30" s="21">
        <v>10</v>
      </c>
      <c r="AS30" s="21">
        <v>10</v>
      </c>
      <c r="AT30" s="21">
        <v>10</v>
      </c>
      <c r="AU30" s="21">
        <v>12</v>
      </c>
      <c r="AV30" s="21">
        <v>12</v>
      </c>
      <c r="AW30" s="21">
        <v>12</v>
      </c>
      <c r="AX30" s="21">
        <v>12</v>
      </c>
      <c r="AY30" s="24">
        <v>30</v>
      </c>
      <c r="AZ30" s="24">
        <v>30</v>
      </c>
      <c r="BA30" s="24">
        <v>30</v>
      </c>
      <c r="BB30" s="24">
        <v>30</v>
      </c>
      <c r="BC30" s="25">
        <v>30</v>
      </c>
    </row>
    <row r="31" spans="1:55" x14ac:dyDescent="0.2">
      <c r="A31" s="18">
        <f t="shared" si="0"/>
        <v>29</v>
      </c>
      <c r="B31" s="19">
        <v>9</v>
      </c>
      <c r="D31" s="20">
        <f t="shared" si="1"/>
        <v>29</v>
      </c>
      <c r="E31" s="21">
        <f t="shared" ref="E31:N34" si="44">E30</f>
        <v>0</v>
      </c>
      <c r="F31" s="21">
        <f t="shared" si="44"/>
        <v>0</v>
      </c>
      <c r="G31" s="21">
        <f t="shared" si="44"/>
        <v>0</v>
      </c>
      <c r="H31" s="21">
        <f t="shared" si="44"/>
        <v>0</v>
      </c>
      <c r="I31" s="21">
        <f t="shared" si="44"/>
        <v>0</v>
      </c>
      <c r="J31" s="21">
        <f t="shared" si="44"/>
        <v>0</v>
      </c>
      <c r="K31" s="21">
        <f t="shared" si="44"/>
        <v>0</v>
      </c>
      <c r="L31" s="21">
        <f t="shared" si="44"/>
        <v>0</v>
      </c>
      <c r="M31" s="21">
        <f t="shared" si="44"/>
        <v>0</v>
      </c>
      <c r="N31" s="21">
        <f t="shared" si="44"/>
        <v>0</v>
      </c>
      <c r="O31" s="21">
        <f t="shared" ref="O31:X34" si="45">O30</f>
        <v>0</v>
      </c>
      <c r="P31" s="21">
        <f t="shared" si="45"/>
        <v>1</v>
      </c>
      <c r="Q31" s="21">
        <f t="shared" si="45"/>
        <v>1</v>
      </c>
      <c r="R31" s="21">
        <f t="shared" si="45"/>
        <v>1</v>
      </c>
      <c r="S31" s="21">
        <f t="shared" si="45"/>
        <v>1</v>
      </c>
      <c r="T31" s="21">
        <f t="shared" si="45"/>
        <v>2</v>
      </c>
      <c r="U31" s="21">
        <f t="shared" si="45"/>
        <v>2</v>
      </c>
      <c r="V31" s="21">
        <f t="shared" si="45"/>
        <v>2</v>
      </c>
      <c r="W31" s="21">
        <f t="shared" si="45"/>
        <v>2</v>
      </c>
      <c r="X31" s="21">
        <f t="shared" si="45"/>
        <v>2</v>
      </c>
      <c r="Y31" s="21">
        <f t="shared" ref="Y31:AH34" si="46">Y30</f>
        <v>3</v>
      </c>
      <c r="Z31" s="21">
        <f t="shared" si="46"/>
        <v>3</v>
      </c>
      <c r="AA31" s="21">
        <f t="shared" si="46"/>
        <v>3</v>
      </c>
      <c r="AB31" s="21">
        <f t="shared" si="46"/>
        <v>3</v>
      </c>
      <c r="AC31" s="21">
        <f t="shared" si="46"/>
        <v>5</v>
      </c>
      <c r="AD31" s="21">
        <f t="shared" si="46"/>
        <v>5</v>
      </c>
      <c r="AE31" s="21">
        <f t="shared" si="46"/>
        <v>5</v>
      </c>
      <c r="AF31" s="21">
        <f t="shared" si="46"/>
        <v>5</v>
      </c>
      <c r="AG31" s="21">
        <f t="shared" si="46"/>
        <v>5</v>
      </c>
      <c r="AH31" s="21">
        <f t="shared" si="46"/>
        <v>5</v>
      </c>
      <c r="AI31" s="21">
        <f t="shared" ref="AI31:AR34" si="47">AI30</f>
        <v>7</v>
      </c>
      <c r="AJ31" s="21">
        <f t="shared" si="47"/>
        <v>7</v>
      </c>
      <c r="AK31" s="21">
        <f t="shared" si="47"/>
        <v>7</v>
      </c>
      <c r="AL31" s="21">
        <f t="shared" si="47"/>
        <v>7</v>
      </c>
      <c r="AM31" s="21">
        <f t="shared" si="47"/>
        <v>7</v>
      </c>
      <c r="AN31" s="21">
        <f t="shared" si="47"/>
        <v>9</v>
      </c>
      <c r="AO31" s="21">
        <f t="shared" si="47"/>
        <v>9</v>
      </c>
      <c r="AP31" s="21">
        <f t="shared" si="47"/>
        <v>9</v>
      </c>
      <c r="AQ31" s="21">
        <f t="shared" si="47"/>
        <v>10</v>
      </c>
      <c r="AR31" s="21">
        <f t="shared" si="47"/>
        <v>10</v>
      </c>
      <c r="AS31" s="21">
        <f t="shared" ref="AS31:BB34" si="48">AS30</f>
        <v>10</v>
      </c>
      <c r="AT31" s="21">
        <f t="shared" si="48"/>
        <v>10</v>
      </c>
      <c r="AU31" s="21">
        <f t="shared" si="48"/>
        <v>12</v>
      </c>
      <c r="AV31" s="21">
        <f t="shared" si="48"/>
        <v>12</v>
      </c>
      <c r="AW31" s="21">
        <f t="shared" si="48"/>
        <v>12</v>
      </c>
      <c r="AX31" s="21">
        <f t="shared" si="48"/>
        <v>12</v>
      </c>
      <c r="AY31" s="24">
        <f t="shared" si="48"/>
        <v>30</v>
      </c>
      <c r="AZ31" s="24">
        <f t="shared" si="48"/>
        <v>30</v>
      </c>
      <c r="BA31" s="24">
        <f t="shared" si="48"/>
        <v>30</v>
      </c>
      <c r="BB31" s="24">
        <f t="shared" si="48"/>
        <v>30</v>
      </c>
      <c r="BC31" s="25">
        <f>BC30</f>
        <v>30</v>
      </c>
    </row>
    <row r="32" spans="1:55" x14ac:dyDescent="0.2">
      <c r="A32" s="23">
        <f t="shared" si="0"/>
        <v>30</v>
      </c>
      <c r="B32" s="19">
        <v>10</v>
      </c>
      <c r="D32" s="20">
        <f t="shared" si="1"/>
        <v>30</v>
      </c>
      <c r="E32" s="21">
        <f t="shared" si="44"/>
        <v>0</v>
      </c>
      <c r="F32" s="21">
        <f t="shared" si="44"/>
        <v>0</v>
      </c>
      <c r="G32" s="21">
        <f t="shared" si="44"/>
        <v>0</v>
      </c>
      <c r="H32" s="21">
        <f t="shared" si="44"/>
        <v>0</v>
      </c>
      <c r="I32" s="21">
        <f t="shared" si="44"/>
        <v>0</v>
      </c>
      <c r="J32" s="21">
        <f t="shared" si="44"/>
        <v>0</v>
      </c>
      <c r="K32" s="21">
        <f t="shared" si="44"/>
        <v>0</v>
      </c>
      <c r="L32" s="21">
        <f t="shared" si="44"/>
        <v>0</v>
      </c>
      <c r="M32" s="21">
        <f t="shared" si="44"/>
        <v>0</v>
      </c>
      <c r="N32" s="21">
        <f t="shared" si="44"/>
        <v>0</v>
      </c>
      <c r="O32" s="21">
        <f t="shared" si="45"/>
        <v>0</v>
      </c>
      <c r="P32" s="21">
        <f t="shared" si="45"/>
        <v>1</v>
      </c>
      <c r="Q32" s="21">
        <f t="shared" si="45"/>
        <v>1</v>
      </c>
      <c r="R32" s="21">
        <f t="shared" si="45"/>
        <v>1</v>
      </c>
      <c r="S32" s="21">
        <f t="shared" si="45"/>
        <v>1</v>
      </c>
      <c r="T32" s="21">
        <f t="shared" si="45"/>
        <v>2</v>
      </c>
      <c r="U32" s="21">
        <f t="shared" si="45"/>
        <v>2</v>
      </c>
      <c r="V32" s="21">
        <f t="shared" si="45"/>
        <v>2</v>
      </c>
      <c r="W32" s="21">
        <f t="shared" si="45"/>
        <v>2</v>
      </c>
      <c r="X32" s="21">
        <f t="shared" si="45"/>
        <v>2</v>
      </c>
      <c r="Y32" s="21">
        <f t="shared" si="46"/>
        <v>3</v>
      </c>
      <c r="Z32" s="21">
        <f t="shared" si="46"/>
        <v>3</v>
      </c>
      <c r="AA32" s="21">
        <f t="shared" si="46"/>
        <v>3</v>
      </c>
      <c r="AB32" s="21">
        <f t="shared" si="46"/>
        <v>3</v>
      </c>
      <c r="AC32" s="21">
        <f t="shared" si="46"/>
        <v>5</v>
      </c>
      <c r="AD32" s="21">
        <f t="shared" si="46"/>
        <v>5</v>
      </c>
      <c r="AE32" s="21">
        <f t="shared" si="46"/>
        <v>5</v>
      </c>
      <c r="AF32" s="21">
        <f t="shared" si="46"/>
        <v>5</v>
      </c>
      <c r="AG32" s="21">
        <f t="shared" si="46"/>
        <v>5</v>
      </c>
      <c r="AH32" s="21">
        <f t="shared" si="46"/>
        <v>5</v>
      </c>
      <c r="AI32" s="21">
        <f t="shared" si="47"/>
        <v>7</v>
      </c>
      <c r="AJ32" s="21">
        <f t="shared" si="47"/>
        <v>7</v>
      </c>
      <c r="AK32" s="21">
        <f t="shared" si="47"/>
        <v>7</v>
      </c>
      <c r="AL32" s="21">
        <f t="shared" si="47"/>
        <v>7</v>
      </c>
      <c r="AM32" s="21">
        <f t="shared" si="47"/>
        <v>7</v>
      </c>
      <c r="AN32" s="21">
        <f t="shared" si="47"/>
        <v>9</v>
      </c>
      <c r="AO32" s="21">
        <f t="shared" si="47"/>
        <v>9</v>
      </c>
      <c r="AP32" s="21">
        <f t="shared" si="47"/>
        <v>9</v>
      </c>
      <c r="AQ32" s="21">
        <f t="shared" si="47"/>
        <v>10</v>
      </c>
      <c r="AR32" s="21">
        <f t="shared" si="47"/>
        <v>10</v>
      </c>
      <c r="AS32" s="21">
        <f t="shared" si="48"/>
        <v>10</v>
      </c>
      <c r="AT32" s="21">
        <f t="shared" si="48"/>
        <v>10</v>
      </c>
      <c r="AU32" s="21">
        <f t="shared" si="48"/>
        <v>12</v>
      </c>
      <c r="AV32" s="21">
        <f t="shared" si="48"/>
        <v>12</v>
      </c>
      <c r="AW32" s="21">
        <f t="shared" si="48"/>
        <v>12</v>
      </c>
      <c r="AX32" s="21">
        <f t="shared" si="48"/>
        <v>12</v>
      </c>
      <c r="AY32" s="24">
        <f t="shared" si="48"/>
        <v>30</v>
      </c>
      <c r="AZ32" s="24">
        <f t="shared" si="48"/>
        <v>30</v>
      </c>
      <c r="BA32" s="24">
        <f t="shared" si="48"/>
        <v>30</v>
      </c>
      <c r="BB32" s="24">
        <f t="shared" si="48"/>
        <v>30</v>
      </c>
      <c r="BC32" s="25">
        <f>BC31</f>
        <v>30</v>
      </c>
    </row>
    <row r="33" spans="1:55" x14ac:dyDescent="0.2">
      <c r="A33" s="18">
        <f t="shared" si="0"/>
        <v>31</v>
      </c>
      <c r="B33" s="19">
        <v>10</v>
      </c>
      <c r="D33" s="20">
        <f t="shared" si="1"/>
        <v>31</v>
      </c>
      <c r="E33" s="21">
        <f t="shared" si="44"/>
        <v>0</v>
      </c>
      <c r="F33" s="21">
        <f t="shared" si="44"/>
        <v>0</v>
      </c>
      <c r="G33" s="21">
        <f t="shared" si="44"/>
        <v>0</v>
      </c>
      <c r="H33" s="21">
        <f t="shared" si="44"/>
        <v>0</v>
      </c>
      <c r="I33" s="21">
        <f t="shared" si="44"/>
        <v>0</v>
      </c>
      <c r="J33" s="21">
        <f t="shared" si="44"/>
        <v>0</v>
      </c>
      <c r="K33" s="21">
        <f t="shared" si="44"/>
        <v>0</v>
      </c>
      <c r="L33" s="21">
        <f t="shared" si="44"/>
        <v>0</v>
      </c>
      <c r="M33" s="21">
        <f t="shared" si="44"/>
        <v>0</v>
      </c>
      <c r="N33" s="21">
        <f t="shared" si="44"/>
        <v>0</v>
      </c>
      <c r="O33" s="21">
        <f t="shared" si="45"/>
        <v>0</v>
      </c>
      <c r="P33" s="21">
        <f t="shared" si="45"/>
        <v>1</v>
      </c>
      <c r="Q33" s="21">
        <f t="shared" si="45"/>
        <v>1</v>
      </c>
      <c r="R33" s="21">
        <f t="shared" si="45"/>
        <v>1</v>
      </c>
      <c r="S33" s="21">
        <f t="shared" si="45"/>
        <v>1</v>
      </c>
      <c r="T33" s="21">
        <f t="shared" si="45"/>
        <v>2</v>
      </c>
      <c r="U33" s="21">
        <f t="shared" si="45"/>
        <v>2</v>
      </c>
      <c r="V33" s="21">
        <f t="shared" si="45"/>
        <v>2</v>
      </c>
      <c r="W33" s="21">
        <f t="shared" si="45"/>
        <v>2</v>
      </c>
      <c r="X33" s="21">
        <f t="shared" si="45"/>
        <v>2</v>
      </c>
      <c r="Y33" s="21">
        <f t="shared" si="46"/>
        <v>3</v>
      </c>
      <c r="Z33" s="21">
        <f t="shared" si="46"/>
        <v>3</v>
      </c>
      <c r="AA33" s="21">
        <f t="shared" si="46"/>
        <v>3</v>
      </c>
      <c r="AB33" s="21">
        <f t="shared" si="46"/>
        <v>3</v>
      </c>
      <c r="AC33" s="21">
        <f t="shared" si="46"/>
        <v>5</v>
      </c>
      <c r="AD33" s="21">
        <f t="shared" si="46"/>
        <v>5</v>
      </c>
      <c r="AE33" s="21">
        <f t="shared" si="46"/>
        <v>5</v>
      </c>
      <c r="AF33" s="21">
        <f t="shared" si="46"/>
        <v>5</v>
      </c>
      <c r="AG33" s="21">
        <f t="shared" si="46"/>
        <v>5</v>
      </c>
      <c r="AH33" s="21">
        <f t="shared" si="46"/>
        <v>5</v>
      </c>
      <c r="AI33" s="21">
        <f t="shared" si="47"/>
        <v>7</v>
      </c>
      <c r="AJ33" s="21">
        <f t="shared" si="47"/>
        <v>7</v>
      </c>
      <c r="AK33" s="21">
        <f t="shared" si="47"/>
        <v>7</v>
      </c>
      <c r="AL33" s="21">
        <f t="shared" si="47"/>
        <v>7</v>
      </c>
      <c r="AM33" s="21">
        <f t="shared" si="47"/>
        <v>7</v>
      </c>
      <c r="AN33" s="21">
        <f t="shared" si="47"/>
        <v>9</v>
      </c>
      <c r="AO33" s="21">
        <f t="shared" si="47"/>
        <v>9</v>
      </c>
      <c r="AP33" s="21">
        <f t="shared" si="47"/>
        <v>9</v>
      </c>
      <c r="AQ33" s="21">
        <f t="shared" si="47"/>
        <v>10</v>
      </c>
      <c r="AR33" s="21">
        <f t="shared" si="47"/>
        <v>10</v>
      </c>
      <c r="AS33" s="21">
        <f t="shared" si="48"/>
        <v>10</v>
      </c>
      <c r="AT33" s="21">
        <f t="shared" si="48"/>
        <v>10</v>
      </c>
      <c r="AU33" s="21">
        <f t="shared" si="48"/>
        <v>12</v>
      </c>
      <c r="AV33" s="21">
        <f t="shared" si="48"/>
        <v>12</v>
      </c>
      <c r="AW33" s="21">
        <f t="shared" si="48"/>
        <v>12</v>
      </c>
      <c r="AX33" s="21">
        <f t="shared" si="48"/>
        <v>12</v>
      </c>
      <c r="AY33" s="24">
        <f t="shared" si="48"/>
        <v>30</v>
      </c>
      <c r="AZ33" s="24">
        <f t="shared" si="48"/>
        <v>30</v>
      </c>
      <c r="BA33" s="24">
        <f t="shared" si="48"/>
        <v>30</v>
      </c>
      <c r="BB33" s="24">
        <f t="shared" si="48"/>
        <v>30</v>
      </c>
      <c r="BC33" s="25">
        <f>BC32</f>
        <v>30</v>
      </c>
    </row>
    <row r="34" spans="1:55" x14ac:dyDescent="0.2">
      <c r="A34" s="18">
        <f t="shared" si="0"/>
        <v>32</v>
      </c>
      <c r="B34" s="19">
        <v>11</v>
      </c>
      <c r="D34" s="20">
        <f t="shared" si="1"/>
        <v>32</v>
      </c>
      <c r="E34" s="21">
        <f t="shared" si="44"/>
        <v>0</v>
      </c>
      <c r="F34" s="21">
        <f t="shared" si="44"/>
        <v>0</v>
      </c>
      <c r="G34" s="21">
        <f t="shared" si="44"/>
        <v>0</v>
      </c>
      <c r="H34" s="21">
        <f t="shared" si="44"/>
        <v>0</v>
      </c>
      <c r="I34" s="21">
        <f t="shared" si="44"/>
        <v>0</v>
      </c>
      <c r="J34" s="21">
        <f t="shared" si="44"/>
        <v>0</v>
      </c>
      <c r="K34" s="21">
        <f t="shared" si="44"/>
        <v>0</v>
      </c>
      <c r="L34" s="21">
        <f t="shared" si="44"/>
        <v>0</v>
      </c>
      <c r="M34" s="21">
        <f t="shared" si="44"/>
        <v>0</v>
      </c>
      <c r="N34" s="21">
        <f t="shared" si="44"/>
        <v>0</v>
      </c>
      <c r="O34" s="21">
        <f t="shared" si="45"/>
        <v>0</v>
      </c>
      <c r="P34" s="21">
        <f t="shared" si="45"/>
        <v>1</v>
      </c>
      <c r="Q34" s="21">
        <f t="shared" si="45"/>
        <v>1</v>
      </c>
      <c r="R34" s="21">
        <f t="shared" si="45"/>
        <v>1</v>
      </c>
      <c r="S34" s="21">
        <f t="shared" si="45"/>
        <v>1</v>
      </c>
      <c r="T34" s="21">
        <f t="shared" si="45"/>
        <v>2</v>
      </c>
      <c r="U34" s="21">
        <f t="shared" si="45"/>
        <v>2</v>
      </c>
      <c r="V34" s="21">
        <f t="shared" si="45"/>
        <v>2</v>
      </c>
      <c r="W34" s="21">
        <f t="shared" si="45"/>
        <v>2</v>
      </c>
      <c r="X34" s="21">
        <f t="shared" si="45"/>
        <v>2</v>
      </c>
      <c r="Y34" s="21">
        <f t="shared" si="46"/>
        <v>3</v>
      </c>
      <c r="Z34" s="21">
        <f t="shared" si="46"/>
        <v>3</v>
      </c>
      <c r="AA34" s="21">
        <f t="shared" si="46"/>
        <v>3</v>
      </c>
      <c r="AB34" s="21">
        <f t="shared" si="46"/>
        <v>3</v>
      </c>
      <c r="AC34" s="21">
        <f t="shared" si="46"/>
        <v>5</v>
      </c>
      <c r="AD34" s="21">
        <f t="shared" si="46"/>
        <v>5</v>
      </c>
      <c r="AE34" s="21">
        <f t="shared" si="46"/>
        <v>5</v>
      </c>
      <c r="AF34" s="21">
        <f t="shared" si="46"/>
        <v>5</v>
      </c>
      <c r="AG34" s="21">
        <f t="shared" si="46"/>
        <v>5</v>
      </c>
      <c r="AH34" s="21">
        <f t="shared" si="46"/>
        <v>5</v>
      </c>
      <c r="AI34" s="21">
        <f t="shared" si="47"/>
        <v>7</v>
      </c>
      <c r="AJ34" s="21">
        <f t="shared" si="47"/>
        <v>7</v>
      </c>
      <c r="AK34" s="21">
        <f t="shared" si="47"/>
        <v>7</v>
      </c>
      <c r="AL34" s="21">
        <f t="shared" si="47"/>
        <v>7</v>
      </c>
      <c r="AM34" s="21">
        <f t="shared" si="47"/>
        <v>7</v>
      </c>
      <c r="AN34" s="21">
        <f t="shared" si="47"/>
        <v>9</v>
      </c>
      <c r="AO34" s="21">
        <f t="shared" si="47"/>
        <v>9</v>
      </c>
      <c r="AP34" s="21">
        <f t="shared" si="47"/>
        <v>9</v>
      </c>
      <c r="AQ34" s="21">
        <f t="shared" si="47"/>
        <v>10</v>
      </c>
      <c r="AR34" s="21">
        <f t="shared" si="47"/>
        <v>10</v>
      </c>
      <c r="AS34" s="21">
        <f t="shared" si="48"/>
        <v>10</v>
      </c>
      <c r="AT34" s="21">
        <f t="shared" si="48"/>
        <v>10</v>
      </c>
      <c r="AU34" s="21">
        <f t="shared" si="48"/>
        <v>12</v>
      </c>
      <c r="AV34" s="21">
        <f t="shared" si="48"/>
        <v>12</v>
      </c>
      <c r="AW34" s="21">
        <f t="shared" si="48"/>
        <v>12</v>
      </c>
      <c r="AX34" s="21">
        <f t="shared" si="48"/>
        <v>12</v>
      </c>
      <c r="AY34" s="24">
        <f t="shared" si="48"/>
        <v>30</v>
      </c>
      <c r="AZ34" s="24">
        <f t="shared" si="48"/>
        <v>30</v>
      </c>
      <c r="BA34" s="24">
        <f t="shared" si="48"/>
        <v>30</v>
      </c>
      <c r="BB34" s="24">
        <f t="shared" si="48"/>
        <v>30</v>
      </c>
      <c r="BC34" s="25">
        <f>BC33</f>
        <v>30</v>
      </c>
    </row>
    <row r="35" spans="1:55" x14ac:dyDescent="0.2">
      <c r="A35" s="18">
        <f t="shared" si="0"/>
        <v>33</v>
      </c>
      <c r="B35" s="19">
        <v>11</v>
      </c>
      <c r="D35" s="26">
        <f t="shared" si="1"/>
        <v>33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0</v>
      </c>
      <c r="O35" s="21">
        <v>0</v>
      </c>
      <c r="P35" s="21">
        <v>0</v>
      </c>
      <c r="Q35" s="21">
        <v>0</v>
      </c>
      <c r="R35" s="21">
        <v>1</v>
      </c>
      <c r="S35" s="21">
        <v>1</v>
      </c>
      <c r="T35" s="21">
        <v>1</v>
      </c>
      <c r="U35" s="21">
        <v>1</v>
      </c>
      <c r="V35" s="21">
        <v>1</v>
      </c>
      <c r="W35" s="21">
        <v>1</v>
      </c>
      <c r="X35" s="21">
        <v>2</v>
      </c>
      <c r="Y35" s="21">
        <v>2</v>
      </c>
      <c r="Z35" s="21">
        <v>2</v>
      </c>
      <c r="AA35" s="21">
        <v>2</v>
      </c>
      <c r="AB35" s="21">
        <v>2</v>
      </c>
      <c r="AC35" s="21">
        <v>2</v>
      </c>
      <c r="AD35" s="21">
        <v>3</v>
      </c>
      <c r="AE35" s="21">
        <v>3</v>
      </c>
      <c r="AF35" s="21">
        <v>3</v>
      </c>
      <c r="AG35" s="21">
        <v>3</v>
      </c>
      <c r="AH35" s="21">
        <v>3</v>
      </c>
      <c r="AI35" s="21">
        <v>5</v>
      </c>
      <c r="AJ35" s="21">
        <v>5</v>
      </c>
      <c r="AK35" s="21">
        <v>5</v>
      </c>
      <c r="AL35" s="21">
        <v>5</v>
      </c>
      <c r="AM35" s="21">
        <v>5</v>
      </c>
      <c r="AN35" s="21">
        <v>7</v>
      </c>
      <c r="AO35" s="21">
        <v>7</v>
      </c>
      <c r="AP35" s="21">
        <v>7</v>
      </c>
      <c r="AQ35" s="21">
        <v>7</v>
      </c>
      <c r="AR35" s="21">
        <v>7</v>
      </c>
      <c r="AS35" s="21">
        <v>9</v>
      </c>
      <c r="AT35" s="21">
        <v>9</v>
      </c>
      <c r="AU35" s="21">
        <v>9</v>
      </c>
      <c r="AV35" s="21">
        <v>10</v>
      </c>
      <c r="AW35" s="21">
        <v>10</v>
      </c>
      <c r="AX35" s="21">
        <v>10</v>
      </c>
      <c r="AY35" s="21">
        <v>12</v>
      </c>
      <c r="AZ35" s="21">
        <v>12</v>
      </c>
      <c r="BA35" s="24">
        <v>30</v>
      </c>
      <c r="BB35" s="24">
        <f>BA35</f>
        <v>30</v>
      </c>
      <c r="BC35" s="25">
        <f>BB35</f>
        <v>30</v>
      </c>
    </row>
    <row r="36" spans="1:55" x14ac:dyDescent="0.2">
      <c r="A36" s="18">
        <f t="shared" ref="A36:A52" si="49">A35 +1</f>
        <v>34</v>
      </c>
      <c r="B36" s="19">
        <v>12</v>
      </c>
      <c r="D36" s="20">
        <f t="shared" ref="D36:D99" si="50">D35 +1</f>
        <v>34</v>
      </c>
      <c r="E36" s="21">
        <f t="shared" ref="E36:N38" si="51">E35</f>
        <v>0</v>
      </c>
      <c r="F36" s="21">
        <f t="shared" si="51"/>
        <v>0</v>
      </c>
      <c r="G36" s="21">
        <f t="shared" si="51"/>
        <v>0</v>
      </c>
      <c r="H36" s="21">
        <f t="shared" si="51"/>
        <v>0</v>
      </c>
      <c r="I36" s="21">
        <f t="shared" si="51"/>
        <v>0</v>
      </c>
      <c r="J36" s="21">
        <f t="shared" si="51"/>
        <v>0</v>
      </c>
      <c r="K36" s="21">
        <f t="shared" si="51"/>
        <v>0</v>
      </c>
      <c r="L36" s="21">
        <f t="shared" si="51"/>
        <v>0</v>
      </c>
      <c r="M36" s="21">
        <f t="shared" si="51"/>
        <v>0</v>
      </c>
      <c r="N36" s="21">
        <f t="shared" si="51"/>
        <v>0</v>
      </c>
      <c r="O36" s="21">
        <f t="shared" ref="O36:X38" si="52">O35</f>
        <v>0</v>
      </c>
      <c r="P36" s="21">
        <f t="shared" si="52"/>
        <v>0</v>
      </c>
      <c r="Q36" s="21">
        <f t="shared" si="52"/>
        <v>0</v>
      </c>
      <c r="R36" s="21">
        <f t="shared" si="52"/>
        <v>1</v>
      </c>
      <c r="S36" s="21">
        <f t="shared" si="52"/>
        <v>1</v>
      </c>
      <c r="T36" s="21">
        <f t="shared" si="52"/>
        <v>1</v>
      </c>
      <c r="U36" s="21">
        <f t="shared" si="52"/>
        <v>1</v>
      </c>
      <c r="V36" s="21">
        <f t="shared" si="52"/>
        <v>1</v>
      </c>
      <c r="W36" s="21">
        <f t="shared" si="52"/>
        <v>1</v>
      </c>
      <c r="X36" s="21">
        <f t="shared" si="52"/>
        <v>2</v>
      </c>
      <c r="Y36" s="21">
        <f t="shared" ref="Y36:AH38" si="53">Y35</f>
        <v>2</v>
      </c>
      <c r="Z36" s="21">
        <f t="shared" si="53"/>
        <v>2</v>
      </c>
      <c r="AA36" s="21">
        <f t="shared" si="53"/>
        <v>2</v>
      </c>
      <c r="AB36" s="21">
        <f t="shared" si="53"/>
        <v>2</v>
      </c>
      <c r="AC36" s="21">
        <f t="shared" si="53"/>
        <v>2</v>
      </c>
      <c r="AD36" s="21">
        <f t="shared" si="53"/>
        <v>3</v>
      </c>
      <c r="AE36" s="21">
        <f t="shared" si="53"/>
        <v>3</v>
      </c>
      <c r="AF36" s="21">
        <f t="shared" si="53"/>
        <v>3</v>
      </c>
      <c r="AG36" s="21">
        <f t="shared" si="53"/>
        <v>3</v>
      </c>
      <c r="AH36" s="21">
        <f t="shared" si="53"/>
        <v>3</v>
      </c>
      <c r="AI36" s="21">
        <f t="shared" ref="AI36:AR38" si="54">AI35</f>
        <v>5</v>
      </c>
      <c r="AJ36" s="21">
        <f t="shared" si="54"/>
        <v>5</v>
      </c>
      <c r="AK36" s="21">
        <f t="shared" si="54"/>
        <v>5</v>
      </c>
      <c r="AL36" s="21">
        <f t="shared" si="54"/>
        <v>5</v>
      </c>
      <c r="AM36" s="21">
        <f t="shared" si="54"/>
        <v>5</v>
      </c>
      <c r="AN36" s="21">
        <f t="shared" si="54"/>
        <v>7</v>
      </c>
      <c r="AO36" s="21">
        <f t="shared" si="54"/>
        <v>7</v>
      </c>
      <c r="AP36" s="21">
        <f t="shared" si="54"/>
        <v>7</v>
      </c>
      <c r="AQ36" s="21">
        <f t="shared" si="54"/>
        <v>7</v>
      </c>
      <c r="AR36" s="21">
        <f t="shared" si="54"/>
        <v>7</v>
      </c>
      <c r="AS36" s="21">
        <f t="shared" ref="AS36:BB38" si="55">AS35</f>
        <v>9</v>
      </c>
      <c r="AT36" s="21">
        <f t="shared" si="55"/>
        <v>9</v>
      </c>
      <c r="AU36" s="21">
        <f t="shared" si="55"/>
        <v>9</v>
      </c>
      <c r="AV36" s="21">
        <f t="shared" si="55"/>
        <v>10</v>
      </c>
      <c r="AW36" s="21">
        <f t="shared" si="55"/>
        <v>10</v>
      </c>
      <c r="AX36" s="21">
        <f t="shared" si="55"/>
        <v>10</v>
      </c>
      <c r="AY36" s="21">
        <f t="shared" si="55"/>
        <v>12</v>
      </c>
      <c r="AZ36" s="21">
        <f t="shared" si="55"/>
        <v>12</v>
      </c>
      <c r="BA36" s="24">
        <f t="shared" si="55"/>
        <v>30</v>
      </c>
      <c r="BB36" s="24">
        <f t="shared" si="55"/>
        <v>30</v>
      </c>
      <c r="BC36" s="25">
        <f>BC35</f>
        <v>30</v>
      </c>
    </row>
    <row r="37" spans="1:55" x14ac:dyDescent="0.2">
      <c r="A37" s="18">
        <f t="shared" si="49"/>
        <v>35</v>
      </c>
      <c r="B37" s="19">
        <v>12</v>
      </c>
      <c r="D37" s="20">
        <f t="shared" si="50"/>
        <v>35</v>
      </c>
      <c r="E37" s="21">
        <f t="shared" si="51"/>
        <v>0</v>
      </c>
      <c r="F37" s="21">
        <f t="shared" si="51"/>
        <v>0</v>
      </c>
      <c r="G37" s="21">
        <f t="shared" si="51"/>
        <v>0</v>
      </c>
      <c r="H37" s="21">
        <f t="shared" si="51"/>
        <v>0</v>
      </c>
      <c r="I37" s="21">
        <f t="shared" si="51"/>
        <v>0</v>
      </c>
      <c r="J37" s="21">
        <f t="shared" si="51"/>
        <v>0</v>
      </c>
      <c r="K37" s="21">
        <f t="shared" si="51"/>
        <v>0</v>
      </c>
      <c r="L37" s="21">
        <f t="shared" si="51"/>
        <v>0</v>
      </c>
      <c r="M37" s="21">
        <f t="shared" si="51"/>
        <v>0</v>
      </c>
      <c r="N37" s="21">
        <f t="shared" si="51"/>
        <v>0</v>
      </c>
      <c r="O37" s="21">
        <f t="shared" si="52"/>
        <v>0</v>
      </c>
      <c r="P37" s="21">
        <f t="shared" si="52"/>
        <v>0</v>
      </c>
      <c r="Q37" s="21">
        <f t="shared" si="52"/>
        <v>0</v>
      </c>
      <c r="R37" s="21">
        <f t="shared" si="52"/>
        <v>1</v>
      </c>
      <c r="S37" s="21">
        <f t="shared" si="52"/>
        <v>1</v>
      </c>
      <c r="T37" s="21">
        <f t="shared" si="52"/>
        <v>1</v>
      </c>
      <c r="U37" s="21">
        <f t="shared" si="52"/>
        <v>1</v>
      </c>
      <c r="V37" s="21">
        <f t="shared" si="52"/>
        <v>1</v>
      </c>
      <c r="W37" s="21">
        <f t="shared" si="52"/>
        <v>1</v>
      </c>
      <c r="X37" s="21">
        <f t="shared" si="52"/>
        <v>2</v>
      </c>
      <c r="Y37" s="21">
        <f t="shared" si="53"/>
        <v>2</v>
      </c>
      <c r="Z37" s="21">
        <f t="shared" si="53"/>
        <v>2</v>
      </c>
      <c r="AA37" s="21">
        <f t="shared" si="53"/>
        <v>2</v>
      </c>
      <c r="AB37" s="21">
        <f t="shared" si="53"/>
        <v>2</v>
      </c>
      <c r="AC37" s="21">
        <f t="shared" si="53"/>
        <v>2</v>
      </c>
      <c r="AD37" s="21">
        <f t="shared" si="53"/>
        <v>3</v>
      </c>
      <c r="AE37" s="21">
        <f t="shared" si="53"/>
        <v>3</v>
      </c>
      <c r="AF37" s="21">
        <f t="shared" si="53"/>
        <v>3</v>
      </c>
      <c r="AG37" s="21">
        <f t="shared" si="53"/>
        <v>3</v>
      </c>
      <c r="AH37" s="21">
        <f t="shared" si="53"/>
        <v>3</v>
      </c>
      <c r="AI37" s="21">
        <f t="shared" si="54"/>
        <v>5</v>
      </c>
      <c r="AJ37" s="21">
        <f t="shared" si="54"/>
        <v>5</v>
      </c>
      <c r="AK37" s="21">
        <f t="shared" si="54"/>
        <v>5</v>
      </c>
      <c r="AL37" s="21">
        <f t="shared" si="54"/>
        <v>5</v>
      </c>
      <c r="AM37" s="21">
        <f t="shared" si="54"/>
        <v>5</v>
      </c>
      <c r="AN37" s="21">
        <f t="shared" si="54"/>
        <v>7</v>
      </c>
      <c r="AO37" s="21">
        <f t="shared" si="54"/>
        <v>7</v>
      </c>
      <c r="AP37" s="21">
        <f t="shared" si="54"/>
        <v>7</v>
      </c>
      <c r="AQ37" s="21">
        <f t="shared" si="54"/>
        <v>7</v>
      </c>
      <c r="AR37" s="21">
        <f t="shared" si="54"/>
        <v>7</v>
      </c>
      <c r="AS37" s="21">
        <f t="shared" si="55"/>
        <v>9</v>
      </c>
      <c r="AT37" s="21">
        <f t="shared" si="55"/>
        <v>9</v>
      </c>
      <c r="AU37" s="21">
        <f t="shared" si="55"/>
        <v>9</v>
      </c>
      <c r="AV37" s="21">
        <f t="shared" si="55"/>
        <v>10</v>
      </c>
      <c r="AW37" s="21">
        <f t="shared" si="55"/>
        <v>10</v>
      </c>
      <c r="AX37" s="21">
        <f t="shared" si="55"/>
        <v>10</v>
      </c>
      <c r="AY37" s="21">
        <f t="shared" si="55"/>
        <v>12</v>
      </c>
      <c r="AZ37" s="21">
        <f t="shared" si="55"/>
        <v>12</v>
      </c>
      <c r="BA37" s="24">
        <f t="shared" si="55"/>
        <v>30</v>
      </c>
      <c r="BB37" s="24">
        <f t="shared" si="55"/>
        <v>30</v>
      </c>
      <c r="BC37" s="25">
        <f>BC36</f>
        <v>30</v>
      </c>
    </row>
    <row r="38" spans="1:55" x14ac:dyDescent="0.2">
      <c r="A38" s="18">
        <f t="shared" si="49"/>
        <v>36</v>
      </c>
      <c r="B38" s="19">
        <v>13</v>
      </c>
      <c r="D38" s="20">
        <f t="shared" si="50"/>
        <v>36</v>
      </c>
      <c r="E38" s="21">
        <f t="shared" si="51"/>
        <v>0</v>
      </c>
      <c r="F38" s="21">
        <f t="shared" si="51"/>
        <v>0</v>
      </c>
      <c r="G38" s="21">
        <f t="shared" si="51"/>
        <v>0</v>
      </c>
      <c r="H38" s="21">
        <f t="shared" si="51"/>
        <v>0</v>
      </c>
      <c r="I38" s="21">
        <f t="shared" si="51"/>
        <v>0</v>
      </c>
      <c r="J38" s="21">
        <f t="shared" si="51"/>
        <v>0</v>
      </c>
      <c r="K38" s="21">
        <f t="shared" si="51"/>
        <v>0</v>
      </c>
      <c r="L38" s="21">
        <f t="shared" si="51"/>
        <v>0</v>
      </c>
      <c r="M38" s="21">
        <f t="shared" si="51"/>
        <v>0</v>
      </c>
      <c r="N38" s="21">
        <f t="shared" si="51"/>
        <v>0</v>
      </c>
      <c r="O38" s="21">
        <f t="shared" si="52"/>
        <v>0</v>
      </c>
      <c r="P38" s="21">
        <f t="shared" si="52"/>
        <v>0</v>
      </c>
      <c r="Q38" s="21">
        <f t="shared" si="52"/>
        <v>0</v>
      </c>
      <c r="R38" s="21">
        <f t="shared" si="52"/>
        <v>1</v>
      </c>
      <c r="S38" s="21">
        <f t="shared" si="52"/>
        <v>1</v>
      </c>
      <c r="T38" s="21">
        <f t="shared" si="52"/>
        <v>1</v>
      </c>
      <c r="U38" s="21">
        <f t="shared" si="52"/>
        <v>1</v>
      </c>
      <c r="V38" s="21">
        <f t="shared" si="52"/>
        <v>1</v>
      </c>
      <c r="W38" s="21">
        <f t="shared" si="52"/>
        <v>1</v>
      </c>
      <c r="X38" s="21">
        <f t="shared" si="52"/>
        <v>2</v>
      </c>
      <c r="Y38" s="21">
        <f t="shared" si="53"/>
        <v>2</v>
      </c>
      <c r="Z38" s="21">
        <f t="shared" si="53"/>
        <v>2</v>
      </c>
      <c r="AA38" s="21">
        <f t="shared" si="53"/>
        <v>2</v>
      </c>
      <c r="AB38" s="21">
        <f t="shared" si="53"/>
        <v>2</v>
      </c>
      <c r="AC38" s="21">
        <f t="shared" si="53"/>
        <v>2</v>
      </c>
      <c r="AD38" s="21">
        <f t="shared" si="53"/>
        <v>3</v>
      </c>
      <c r="AE38" s="21">
        <f t="shared" si="53"/>
        <v>3</v>
      </c>
      <c r="AF38" s="21">
        <f t="shared" si="53"/>
        <v>3</v>
      </c>
      <c r="AG38" s="21">
        <f t="shared" si="53"/>
        <v>3</v>
      </c>
      <c r="AH38" s="21">
        <f t="shared" si="53"/>
        <v>3</v>
      </c>
      <c r="AI38" s="21">
        <f t="shared" si="54"/>
        <v>5</v>
      </c>
      <c r="AJ38" s="21">
        <f t="shared" si="54"/>
        <v>5</v>
      </c>
      <c r="AK38" s="21">
        <f t="shared" si="54"/>
        <v>5</v>
      </c>
      <c r="AL38" s="21">
        <f t="shared" si="54"/>
        <v>5</v>
      </c>
      <c r="AM38" s="21">
        <f t="shared" si="54"/>
        <v>5</v>
      </c>
      <c r="AN38" s="21">
        <f t="shared" si="54"/>
        <v>7</v>
      </c>
      <c r="AO38" s="21">
        <f t="shared" si="54"/>
        <v>7</v>
      </c>
      <c r="AP38" s="21">
        <f t="shared" si="54"/>
        <v>7</v>
      </c>
      <c r="AQ38" s="21">
        <f t="shared" si="54"/>
        <v>7</v>
      </c>
      <c r="AR38" s="21">
        <f t="shared" si="54"/>
        <v>7</v>
      </c>
      <c r="AS38" s="21">
        <f t="shared" si="55"/>
        <v>9</v>
      </c>
      <c r="AT38" s="21">
        <f t="shared" si="55"/>
        <v>9</v>
      </c>
      <c r="AU38" s="21">
        <f t="shared" si="55"/>
        <v>9</v>
      </c>
      <c r="AV38" s="21">
        <f t="shared" si="55"/>
        <v>10</v>
      </c>
      <c r="AW38" s="21">
        <f t="shared" si="55"/>
        <v>10</v>
      </c>
      <c r="AX38" s="21">
        <f t="shared" si="55"/>
        <v>10</v>
      </c>
      <c r="AY38" s="21">
        <f t="shared" si="55"/>
        <v>12</v>
      </c>
      <c r="AZ38" s="21">
        <f t="shared" si="55"/>
        <v>12</v>
      </c>
      <c r="BA38" s="24">
        <f t="shared" si="55"/>
        <v>30</v>
      </c>
      <c r="BB38" s="24">
        <f t="shared" si="55"/>
        <v>30</v>
      </c>
      <c r="BC38" s="25">
        <f>BC37</f>
        <v>30</v>
      </c>
    </row>
    <row r="39" spans="1:55" x14ac:dyDescent="0.2">
      <c r="A39" s="18">
        <f t="shared" si="49"/>
        <v>37</v>
      </c>
      <c r="B39" s="19">
        <v>13</v>
      </c>
      <c r="D39" s="26">
        <f t="shared" si="50"/>
        <v>37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21">
        <v>0</v>
      </c>
      <c r="O39" s="21">
        <v>0</v>
      </c>
      <c r="P39" s="21">
        <v>0</v>
      </c>
      <c r="Q39" s="21">
        <v>0</v>
      </c>
      <c r="R39" s="21">
        <v>0</v>
      </c>
      <c r="S39" s="21">
        <v>0</v>
      </c>
      <c r="T39" s="21">
        <v>1</v>
      </c>
      <c r="U39" s="21">
        <v>1</v>
      </c>
      <c r="V39" s="21">
        <v>1</v>
      </c>
      <c r="W39" s="21">
        <v>1</v>
      </c>
      <c r="X39" s="21">
        <v>1</v>
      </c>
      <c r="Y39" s="21">
        <v>1</v>
      </c>
      <c r="Z39" s="21">
        <v>1</v>
      </c>
      <c r="AA39" s="21">
        <v>2</v>
      </c>
      <c r="AB39" s="21">
        <v>2</v>
      </c>
      <c r="AC39" s="21">
        <v>2</v>
      </c>
      <c r="AD39" s="21">
        <v>2</v>
      </c>
      <c r="AE39" s="21">
        <v>2</v>
      </c>
      <c r="AF39" s="21">
        <v>2</v>
      </c>
      <c r="AG39" s="21">
        <v>2</v>
      </c>
      <c r="AH39" s="21">
        <v>3</v>
      </c>
      <c r="AI39" s="21">
        <v>3</v>
      </c>
      <c r="AJ39" s="21">
        <v>3</v>
      </c>
      <c r="AK39" s="21">
        <v>3</v>
      </c>
      <c r="AL39" s="21">
        <v>3</v>
      </c>
      <c r="AM39" s="21">
        <v>5</v>
      </c>
      <c r="AN39" s="21">
        <v>5</v>
      </c>
      <c r="AO39" s="21">
        <v>5</v>
      </c>
      <c r="AP39" s="21">
        <v>5</v>
      </c>
      <c r="AQ39" s="21">
        <v>5</v>
      </c>
      <c r="AR39" s="21">
        <v>7</v>
      </c>
      <c r="AS39" s="21">
        <v>7</v>
      </c>
      <c r="AT39" s="21">
        <v>7</v>
      </c>
      <c r="AU39" s="21">
        <v>7</v>
      </c>
      <c r="AV39" s="21">
        <v>7</v>
      </c>
      <c r="AW39" s="21">
        <v>9</v>
      </c>
      <c r="AX39" s="21">
        <v>9</v>
      </c>
      <c r="AY39" s="21">
        <v>9</v>
      </c>
      <c r="AZ39" s="21">
        <v>9</v>
      </c>
      <c r="BA39" s="21">
        <v>10</v>
      </c>
      <c r="BB39" s="21">
        <v>12</v>
      </c>
      <c r="BC39" s="22">
        <v>12</v>
      </c>
    </row>
    <row r="40" spans="1:55" x14ac:dyDescent="0.2">
      <c r="A40" s="18">
        <f t="shared" si="49"/>
        <v>38</v>
      </c>
      <c r="B40" s="19">
        <v>14</v>
      </c>
      <c r="D40" s="20">
        <f t="shared" si="50"/>
        <v>38</v>
      </c>
      <c r="E40" s="21">
        <f t="shared" ref="E40:N43" si="56">E39</f>
        <v>0</v>
      </c>
      <c r="F40" s="21">
        <f t="shared" si="56"/>
        <v>0</v>
      </c>
      <c r="G40" s="21">
        <f t="shared" si="56"/>
        <v>0</v>
      </c>
      <c r="H40" s="21">
        <f t="shared" si="56"/>
        <v>0</v>
      </c>
      <c r="I40" s="21">
        <f t="shared" si="56"/>
        <v>0</v>
      </c>
      <c r="J40" s="21">
        <f t="shared" si="56"/>
        <v>0</v>
      </c>
      <c r="K40" s="21">
        <f t="shared" si="56"/>
        <v>0</v>
      </c>
      <c r="L40" s="21">
        <f t="shared" si="56"/>
        <v>0</v>
      </c>
      <c r="M40" s="21">
        <f t="shared" si="56"/>
        <v>0</v>
      </c>
      <c r="N40" s="21">
        <f t="shared" si="56"/>
        <v>0</v>
      </c>
      <c r="O40" s="21">
        <f t="shared" ref="O40:X43" si="57">O39</f>
        <v>0</v>
      </c>
      <c r="P40" s="21">
        <f t="shared" si="57"/>
        <v>0</v>
      </c>
      <c r="Q40" s="21">
        <f t="shared" si="57"/>
        <v>0</v>
      </c>
      <c r="R40" s="21">
        <f t="shared" si="57"/>
        <v>0</v>
      </c>
      <c r="S40" s="21">
        <f t="shared" si="57"/>
        <v>0</v>
      </c>
      <c r="T40" s="21">
        <f t="shared" si="57"/>
        <v>1</v>
      </c>
      <c r="U40" s="21">
        <f t="shared" si="57"/>
        <v>1</v>
      </c>
      <c r="V40" s="21">
        <f t="shared" si="57"/>
        <v>1</v>
      </c>
      <c r="W40" s="21">
        <f t="shared" si="57"/>
        <v>1</v>
      </c>
      <c r="X40" s="21">
        <f t="shared" si="57"/>
        <v>1</v>
      </c>
      <c r="Y40" s="21">
        <f t="shared" ref="Y40:AH43" si="58">Y39</f>
        <v>1</v>
      </c>
      <c r="Z40" s="21">
        <f t="shared" si="58"/>
        <v>1</v>
      </c>
      <c r="AA40" s="21">
        <f t="shared" si="58"/>
        <v>2</v>
      </c>
      <c r="AB40" s="21">
        <f t="shared" si="58"/>
        <v>2</v>
      </c>
      <c r="AC40" s="21">
        <f t="shared" si="58"/>
        <v>2</v>
      </c>
      <c r="AD40" s="21">
        <f t="shared" si="58"/>
        <v>2</v>
      </c>
      <c r="AE40" s="21">
        <f t="shared" si="58"/>
        <v>2</v>
      </c>
      <c r="AF40" s="21">
        <f t="shared" si="58"/>
        <v>2</v>
      </c>
      <c r="AG40" s="21">
        <f t="shared" si="58"/>
        <v>2</v>
      </c>
      <c r="AH40" s="21">
        <f t="shared" si="58"/>
        <v>3</v>
      </c>
      <c r="AI40" s="21">
        <f t="shared" ref="AI40:AR43" si="59">AI39</f>
        <v>3</v>
      </c>
      <c r="AJ40" s="21">
        <f t="shared" si="59"/>
        <v>3</v>
      </c>
      <c r="AK40" s="21">
        <f t="shared" si="59"/>
        <v>3</v>
      </c>
      <c r="AL40" s="21">
        <f t="shared" si="59"/>
        <v>3</v>
      </c>
      <c r="AM40" s="21">
        <f t="shared" si="59"/>
        <v>5</v>
      </c>
      <c r="AN40" s="21">
        <f t="shared" si="59"/>
        <v>5</v>
      </c>
      <c r="AO40" s="21">
        <f t="shared" si="59"/>
        <v>5</v>
      </c>
      <c r="AP40" s="21">
        <f t="shared" si="59"/>
        <v>5</v>
      </c>
      <c r="AQ40" s="21">
        <f t="shared" si="59"/>
        <v>5</v>
      </c>
      <c r="AR40" s="21">
        <f t="shared" si="59"/>
        <v>7</v>
      </c>
      <c r="AS40" s="21">
        <f t="shared" ref="AS40:BB43" si="60">AS39</f>
        <v>7</v>
      </c>
      <c r="AT40" s="21">
        <f t="shared" si="60"/>
        <v>7</v>
      </c>
      <c r="AU40" s="21">
        <f t="shared" si="60"/>
        <v>7</v>
      </c>
      <c r="AV40" s="21">
        <f t="shared" si="60"/>
        <v>7</v>
      </c>
      <c r="AW40" s="21">
        <f t="shared" si="60"/>
        <v>9</v>
      </c>
      <c r="AX40" s="21">
        <f t="shared" si="60"/>
        <v>9</v>
      </c>
      <c r="AY40" s="21">
        <f t="shared" si="60"/>
        <v>9</v>
      </c>
      <c r="AZ40" s="21">
        <f t="shared" si="60"/>
        <v>9</v>
      </c>
      <c r="BA40" s="21">
        <f t="shared" si="60"/>
        <v>10</v>
      </c>
      <c r="BB40" s="21">
        <f t="shared" si="60"/>
        <v>12</v>
      </c>
      <c r="BC40" s="22">
        <f>BC39</f>
        <v>12</v>
      </c>
    </row>
    <row r="41" spans="1:55" x14ac:dyDescent="0.2">
      <c r="A41" s="18">
        <f t="shared" si="49"/>
        <v>39</v>
      </c>
      <c r="B41" s="19">
        <v>14</v>
      </c>
      <c r="D41" s="20">
        <f t="shared" si="50"/>
        <v>39</v>
      </c>
      <c r="E41" s="21">
        <f t="shared" si="56"/>
        <v>0</v>
      </c>
      <c r="F41" s="21">
        <f t="shared" si="56"/>
        <v>0</v>
      </c>
      <c r="G41" s="21">
        <f t="shared" si="56"/>
        <v>0</v>
      </c>
      <c r="H41" s="21">
        <f t="shared" si="56"/>
        <v>0</v>
      </c>
      <c r="I41" s="21">
        <f t="shared" si="56"/>
        <v>0</v>
      </c>
      <c r="J41" s="21">
        <f t="shared" si="56"/>
        <v>0</v>
      </c>
      <c r="K41" s="21">
        <f t="shared" si="56"/>
        <v>0</v>
      </c>
      <c r="L41" s="21">
        <f t="shared" si="56"/>
        <v>0</v>
      </c>
      <c r="M41" s="21">
        <f t="shared" si="56"/>
        <v>0</v>
      </c>
      <c r="N41" s="21">
        <f t="shared" si="56"/>
        <v>0</v>
      </c>
      <c r="O41" s="21">
        <f t="shared" si="57"/>
        <v>0</v>
      </c>
      <c r="P41" s="21">
        <f t="shared" si="57"/>
        <v>0</v>
      </c>
      <c r="Q41" s="21">
        <f t="shared" si="57"/>
        <v>0</v>
      </c>
      <c r="R41" s="21">
        <f t="shared" si="57"/>
        <v>0</v>
      </c>
      <c r="S41" s="21">
        <f t="shared" si="57"/>
        <v>0</v>
      </c>
      <c r="T41" s="21">
        <f t="shared" si="57"/>
        <v>1</v>
      </c>
      <c r="U41" s="21">
        <f t="shared" si="57"/>
        <v>1</v>
      </c>
      <c r="V41" s="21">
        <f t="shared" si="57"/>
        <v>1</v>
      </c>
      <c r="W41" s="21">
        <f t="shared" si="57"/>
        <v>1</v>
      </c>
      <c r="X41" s="21">
        <f t="shared" si="57"/>
        <v>1</v>
      </c>
      <c r="Y41" s="21">
        <f t="shared" si="58"/>
        <v>1</v>
      </c>
      <c r="Z41" s="21">
        <f t="shared" si="58"/>
        <v>1</v>
      </c>
      <c r="AA41" s="21">
        <f t="shared" si="58"/>
        <v>2</v>
      </c>
      <c r="AB41" s="21">
        <f t="shared" si="58"/>
        <v>2</v>
      </c>
      <c r="AC41" s="21">
        <f t="shared" si="58"/>
        <v>2</v>
      </c>
      <c r="AD41" s="21">
        <f t="shared" si="58"/>
        <v>2</v>
      </c>
      <c r="AE41" s="21">
        <f t="shared" si="58"/>
        <v>2</v>
      </c>
      <c r="AF41" s="21">
        <f t="shared" si="58"/>
        <v>2</v>
      </c>
      <c r="AG41" s="21">
        <f t="shared" si="58"/>
        <v>2</v>
      </c>
      <c r="AH41" s="21">
        <f t="shared" si="58"/>
        <v>3</v>
      </c>
      <c r="AI41" s="21">
        <f t="shared" si="59"/>
        <v>3</v>
      </c>
      <c r="AJ41" s="21">
        <f t="shared" si="59"/>
        <v>3</v>
      </c>
      <c r="AK41" s="21">
        <f t="shared" si="59"/>
        <v>3</v>
      </c>
      <c r="AL41" s="21">
        <f t="shared" si="59"/>
        <v>3</v>
      </c>
      <c r="AM41" s="21">
        <f t="shared" si="59"/>
        <v>5</v>
      </c>
      <c r="AN41" s="21">
        <f t="shared" si="59"/>
        <v>5</v>
      </c>
      <c r="AO41" s="21">
        <f t="shared" si="59"/>
        <v>5</v>
      </c>
      <c r="AP41" s="21">
        <f t="shared" si="59"/>
        <v>5</v>
      </c>
      <c r="AQ41" s="21">
        <f t="shared" si="59"/>
        <v>5</v>
      </c>
      <c r="AR41" s="21">
        <f t="shared" si="59"/>
        <v>7</v>
      </c>
      <c r="AS41" s="21">
        <f t="shared" si="60"/>
        <v>7</v>
      </c>
      <c r="AT41" s="21">
        <f t="shared" si="60"/>
        <v>7</v>
      </c>
      <c r="AU41" s="21">
        <f t="shared" si="60"/>
        <v>7</v>
      </c>
      <c r="AV41" s="21">
        <f t="shared" si="60"/>
        <v>7</v>
      </c>
      <c r="AW41" s="21">
        <f t="shared" si="60"/>
        <v>9</v>
      </c>
      <c r="AX41" s="21">
        <f t="shared" si="60"/>
        <v>9</v>
      </c>
      <c r="AY41" s="21">
        <f t="shared" si="60"/>
        <v>9</v>
      </c>
      <c r="AZ41" s="21">
        <f t="shared" si="60"/>
        <v>9</v>
      </c>
      <c r="BA41" s="21">
        <f t="shared" si="60"/>
        <v>10</v>
      </c>
      <c r="BB41" s="21">
        <f t="shared" si="60"/>
        <v>12</v>
      </c>
      <c r="BC41" s="22">
        <f>BC40</f>
        <v>12</v>
      </c>
    </row>
    <row r="42" spans="1:55" x14ac:dyDescent="0.2">
      <c r="A42" s="18">
        <f t="shared" si="49"/>
        <v>40</v>
      </c>
      <c r="B42" s="19">
        <v>15</v>
      </c>
      <c r="D42" s="20">
        <f t="shared" si="50"/>
        <v>40</v>
      </c>
      <c r="E42" s="21">
        <f t="shared" si="56"/>
        <v>0</v>
      </c>
      <c r="F42" s="21">
        <f t="shared" si="56"/>
        <v>0</v>
      </c>
      <c r="G42" s="21">
        <f t="shared" si="56"/>
        <v>0</v>
      </c>
      <c r="H42" s="21">
        <f t="shared" si="56"/>
        <v>0</v>
      </c>
      <c r="I42" s="21">
        <f t="shared" si="56"/>
        <v>0</v>
      </c>
      <c r="J42" s="21">
        <f t="shared" si="56"/>
        <v>0</v>
      </c>
      <c r="K42" s="21">
        <f t="shared" si="56"/>
        <v>0</v>
      </c>
      <c r="L42" s="21">
        <f t="shared" si="56"/>
        <v>0</v>
      </c>
      <c r="M42" s="21">
        <f t="shared" si="56"/>
        <v>0</v>
      </c>
      <c r="N42" s="21">
        <f t="shared" si="56"/>
        <v>0</v>
      </c>
      <c r="O42" s="21">
        <f t="shared" si="57"/>
        <v>0</v>
      </c>
      <c r="P42" s="21">
        <f t="shared" si="57"/>
        <v>0</v>
      </c>
      <c r="Q42" s="21">
        <f t="shared" si="57"/>
        <v>0</v>
      </c>
      <c r="R42" s="21">
        <f t="shared" si="57"/>
        <v>0</v>
      </c>
      <c r="S42" s="21">
        <f t="shared" si="57"/>
        <v>0</v>
      </c>
      <c r="T42" s="21">
        <f t="shared" si="57"/>
        <v>1</v>
      </c>
      <c r="U42" s="21">
        <f t="shared" si="57"/>
        <v>1</v>
      </c>
      <c r="V42" s="21">
        <f t="shared" si="57"/>
        <v>1</v>
      </c>
      <c r="W42" s="21">
        <f t="shared" si="57"/>
        <v>1</v>
      </c>
      <c r="X42" s="21">
        <f t="shared" si="57"/>
        <v>1</v>
      </c>
      <c r="Y42" s="21">
        <f t="shared" si="58"/>
        <v>1</v>
      </c>
      <c r="Z42" s="21">
        <f t="shared" si="58"/>
        <v>1</v>
      </c>
      <c r="AA42" s="21">
        <f t="shared" si="58"/>
        <v>2</v>
      </c>
      <c r="AB42" s="21">
        <f t="shared" si="58"/>
        <v>2</v>
      </c>
      <c r="AC42" s="21">
        <f t="shared" si="58"/>
        <v>2</v>
      </c>
      <c r="AD42" s="21">
        <f t="shared" si="58"/>
        <v>2</v>
      </c>
      <c r="AE42" s="21">
        <f t="shared" si="58"/>
        <v>2</v>
      </c>
      <c r="AF42" s="21">
        <f t="shared" si="58"/>
        <v>2</v>
      </c>
      <c r="AG42" s="21">
        <f t="shared" si="58"/>
        <v>2</v>
      </c>
      <c r="AH42" s="21">
        <f t="shared" si="58"/>
        <v>3</v>
      </c>
      <c r="AI42" s="21">
        <f t="shared" si="59"/>
        <v>3</v>
      </c>
      <c r="AJ42" s="21">
        <f t="shared" si="59"/>
        <v>3</v>
      </c>
      <c r="AK42" s="21">
        <f t="shared" si="59"/>
        <v>3</v>
      </c>
      <c r="AL42" s="21">
        <f t="shared" si="59"/>
        <v>3</v>
      </c>
      <c r="AM42" s="21">
        <f t="shared" si="59"/>
        <v>5</v>
      </c>
      <c r="AN42" s="21">
        <f t="shared" si="59"/>
        <v>5</v>
      </c>
      <c r="AO42" s="21">
        <f t="shared" si="59"/>
        <v>5</v>
      </c>
      <c r="AP42" s="21">
        <f t="shared" si="59"/>
        <v>5</v>
      </c>
      <c r="AQ42" s="21">
        <f t="shared" si="59"/>
        <v>5</v>
      </c>
      <c r="AR42" s="21">
        <f t="shared" si="59"/>
        <v>7</v>
      </c>
      <c r="AS42" s="21">
        <f t="shared" si="60"/>
        <v>7</v>
      </c>
      <c r="AT42" s="21">
        <f t="shared" si="60"/>
        <v>7</v>
      </c>
      <c r="AU42" s="21">
        <f t="shared" si="60"/>
        <v>7</v>
      </c>
      <c r="AV42" s="21">
        <f t="shared" si="60"/>
        <v>7</v>
      </c>
      <c r="AW42" s="21">
        <f t="shared" si="60"/>
        <v>9</v>
      </c>
      <c r="AX42" s="21">
        <f t="shared" si="60"/>
        <v>9</v>
      </c>
      <c r="AY42" s="21">
        <f t="shared" si="60"/>
        <v>9</v>
      </c>
      <c r="AZ42" s="21">
        <f t="shared" si="60"/>
        <v>9</v>
      </c>
      <c r="BA42" s="21">
        <f t="shared" si="60"/>
        <v>10</v>
      </c>
      <c r="BB42" s="21">
        <f t="shared" si="60"/>
        <v>12</v>
      </c>
      <c r="BC42" s="22">
        <f>BC41</f>
        <v>12</v>
      </c>
    </row>
    <row r="43" spans="1:55" x14ac:dyDescent="0.2">
      <c r="A43" s="18">
        <f t="shared" si="49"/>
        <v>41</v>
      </c>
      <c r="B43" s="19">
        <v>15</v>
      </c>
      <c r="C43" t="s">
        <v>81</v>
      </c>
      <c r="D43" s="27">
        <f t="shared" si="50"/>
        <v>41</v>
      </c>
      <c r="E43" s="21">
        <f t="shared" si="56"/>
        <v>0</v>
      </c>
      <c r="F43" s="21">
        <f t="shared" si="56"/>
        <v>0</v>
      </c>
      <c r="G43" s="21">
        <f t="shared" si="56"/>
        <v>0</v>
      </c>
      <c r="H43" s="21">
        <f t="shared" si="56"/>
        <v>0</v>
      </c>
      <c r="I43" s="21">
        <f t="shared" si="56"/>
        <v>0</v>
      </c>
      <c r="J43" s="21">
        <f t="shared" si="56"/>
        <v>0</v>
      </c>
      <c r="K43" s="21">
        <f t="shared" si="56"/>
        <v>0</v>
      </c>
      <c r="L43" s="21">
        <f t="shared" si="56"/>
        <v>0</v>
      </c>
      <c r="M43" s="21">
        <f t="shared" si="56"/>
        <v>0</v>
      </c>
      <c r="N43" s="21">
        <f t="shared" si="56"/>
        <v>0</v>
      </c>
      <c r="O43" s="21">
        <f t="shared" si="57"/>
        <v>0</v>
      </c>
      <c r="P43" s="21">
        <f t="shared" si="57"/>
        <v>0</v>
      </c>
      <c r="Q43" s="21">
        <f t="shared" si="57"/>
        <v>0</v>
      </c>
      <c r="R43" s="21">
        <f t="shared" si="57"/>
        <v>0</v>
      </c>
      <c r="S43" s="21">
        <f t="shared" si="57"/>
        <v>0</v>
      </c>
      <c r="T43" s="21">
        <f t="shared" si="57"/>
        <v>1</v>
      </c>
      <c r="U43" s="21">
        <f t="shared" si="57"/>
        <v>1</v>
      </c>
      <c r="V43" s="21">
        <f t="shared" si="57"/>
        <v>1</v>
      </c>
      <c r="W43" s="21">
        <f t="shared" si="57"/>
        <v>1</v>
      </c>
      <c r="X43" s="21">
        <f t="shared" si="57"/>
        <v>1</v>
      </c>
      <c r="Y43" s="21">
        <f t="shared" si="58"/>
        <v>1</v>
      </c>
      <c r="Z43" s="21">
        <f t="shared" si="58"/>
        <v>1</v>
      </c>
      <c r="AA43" s="21">
        <f t="shared" si="58"/>
        <v>2</v>
      </c>
      <c r="AB43" s="21">
        <f t="shared" si="58"/>
        <v>2</v>
      </c>
      <c r="AC43" s="21">
        <f t="shared" si="58"/>
        <v>2</v>
      </c>
      <c r="AD43" s="21">
        <f t="shared" si="58"/>
        <v>2</v>
      </c>
      <c r="AE43" s="21">
        <f t="shared" si="58"/>
        <v>2</v>
      </c>
      <c r="AF43" s="21">
        <f t="shared" si="58"/>
        <v>2</v>
      </c>
      <c r="AG43" s="21">
        <f t="shared" si="58"/>
        <v>2</v>
      </c>
      <c r="AH43" s="21">
        <f t="shared" si="58"/>
        <v>3</v>
      </c>
      <c r="AI43" s="21">
        <f t="shared" si="59"/>
        <v>3</v>
      </c>
      <c r="AJ43" s="21">
        <f t="shared" si="59"/>
        <v>3</v>
      </c>
      <c r="AK43" s="21">
        <f t="shared" si="59"/>
        <v>3</v>
      </c>
      <c r="AL43" s="21">
        <f t="shared" si="59"/>
        <v>3</v>
      </c>
      <c r="AM43" s="21">
        <f t="shared" si="59"/>
        <v>5</v>
      </c>
      <c r="AN43" s="21">
        <f t="shared" si="59"/>
        <v>5</v>
      </c>
      <c r="AO43" s="21">
        <f t="shared" si="59"/>
        <v>5</v>
      </c>
      <c r="AP43" s="21">
        <f t="shared" si="59"/>
        <v>5</v>
      </c>
      <c r="AQ43" s="21">
        <f t="shared" si="59"/>
        <v>5</v>
      </c>
      <c r="AR43" s="21">
        <f t="shared" si="59"/>
        <v>7</v>
      </c>
      <c r="AS43" s="21">
        <f t="shared" si="60"/>
        <v>7</v>
      </c>
      <c r="AT43" s="21">
        <f t="shared" si="60"/>
        <v>7</v>
      </c>
      <c r="AU43" s="21">
        <f t="shared" si="60"/>
        <v>7</v>
      </c>
      <c r="AV43" s="21">
        <f t="shared" si="60"/>
        <v>7</v>
      </c>
      <c r="AW43" s="21">
        <f t="shared" si="60"/>
        <v>9</v>
      </c>
      <c r="AX43" s="21">
        <f t="shared" si="60"/>
        <v>9</v>
      </c>
      <c r="AY43" s="21">
        <f t="shared" si="60"/>
        <v>9</v>
      </c>
      <c r="AZ43" s="21">
        <f t="shared" si="60"/>
        <v>9</v>
      </c>
      <c r="BA43" s="21">
        <f t="shared" si="60"/>
        <v>10</v>
      </c>
      <c r="BB43" s="21">
        <f t="shared" si="60"/>
        <v>12</v>
      </c>
      <c r="BC43" s="22">
        <f>BC42</f>
        <v>12</v>
      </c>
    </row>
    <row r="44" spans="1:55" x14ac:dyDescent="0.2">
      <c r="A44" s="18">
        <f t="shared" si="49"/>
        <v>42</v>
      </c>
      <c r="B44" s="19">
        <v>16</v>
      </c>
      <c r="C44" t="s">
        <v>81</v>
      </c>
      <c r="D44" s="26">
        <f t="shared" si="50"/>
        <v>42</v>
      </c>
      <c r="E44" s="21">
        <f t="shared" ref="E44:E75" si="61">E43</f>
        <v>0</v>
      </c>
      <c r="F44" s="21">
        <f t="shared" ref="F44:F75" si="62">F43</f>
        <v>0</v>
      </c>
      <c r="G44" s="21">
        <f t="shared" ref="G44:G75" si="63">G43</f>
        <v>0</v>
      </c>
      <c r="H44" s="21">
        <f t="shared" ref="H44:H75" si="64">H43</f>
        <v>0</v>
      </c>
      <c r="I44" s="21">
        <f t="shared" ref="I44:I75" si="65">I43</f>
        <v>0</v>
      </c>
      <c r="J44" s="21">
        <f t="shared" ref="J44:J75" si="66">J43</f>
        <v>0</v>
      </c>
      <c r="K44" s="21">
        <f t="shared" ref="K44:K75" si="67">K43</f>
        <v>0</v>
      </c>
      <c r="L44" s="21">
        <f t="shared" ref="L44:L75" si="68">L43</f>
        <v>0</v>
      </c>
      <c r="M44" s="21">
        <f t="shared" ref="M44:M75" si="69">M43</f>
        <v>0</v>
      </c>
      <c r="N44" s="21">
        <f t="shared" ref="N44:N75" si="70">N43</f>
        <v>0</v>
      </c>
      <c r="O44" s="21">
        <f t="shared" ref="O44:O75" si="71">O43</f>
        <v>0</v>
      </c>
      <c r="P44" s="21">
        <f t="shared" ref="P44:P75" si="72">P43</f>
        <v>0</v>
      </c>
      <c r="Q44" s="21">
        <f t="shared" ref="Q44:Q75" si="73">Q43</f>
        <v>0</v>
      </c>
      <c r="R44" s="21">
        <f t="shared" ref="R44:R75" si="74">R43</f>
        <v>0</v>
      </c>
      <c r="S44" s="21">
        <f t="shared" ref="S44:S75" si="75">S43</f>
        <v>0</v>
      </c>
      <c r="T44" s="21">
        <v>0</v>
      </c>
      <c r="U44" s="21">
        <v>0</v>
      </c>
      <c r="V44" s="21">
        <v>1</v>
      </c>
      <c r="W44" s="21">
        <v>1</v>
      </c>
      <c r="X44" s="21">
        <v>1</v>
      </c>
      <c r="Y44" s="21">
        <v>1</v>
      </c>
      <c r="Z44" s="21">
        <v>1</v>
      </c>
      <c r="AA44" s="21">
        <v>1</v>
      </c>
      <c r="AB44" s="21">
        <v>1</v>
      </c>
      <c r="AC44" s="21">
        <v>2</v>
      </c>
      <c r="AD44" s="21">
        <v>2</v>
      </c>
      <c r="AE44" s="21">
        <v>2</v>
      </c>
      <c r="AF44" s="21">
        <v>2</v>
      </c>
      <c r="AG44" s="21">
        <v>2</v>
      </c>
      <c r="AH44" s="21">
        <v>2</v>
      </c>
      <c r="AI44" s="21">
        <v>2</v>
      </c>
      <c r="AJ44" s="21">
        <v>3</v>
      </c>
      <c r="AK44" s="21">
        <v>3</v>
      </c>
      <c r="AL44" s="21">
        <v>3</v>
      </c>
      <c r="AM44" s="21">
        <v>3</v>
      </c>
      <c r="AN44" s="21">
        <v>3</v>
      </c>
      <c r="AO44" s="21">
        <v>5</v>
      </c>
      <c r="AP44" s="21">
        <v>5</v>
      </c>
      <c r="AQ44" s="21">
        <v>5</v>
      </c>
      <c r="AR44" s="21">
        <v>5</v>
      </c>
      <c r="AS44" s="21">
        <v>5</v>
      </c>
      <c r="AT44" s="21">
        <v>7</v>
      </c>
      <c r="AU44" s="21">
        <v>7</v>
      </c>
      <c r="AV44" s="21">
        <v>7</v>
      </c>
      <c r="AW44" s="21">
        <v>7</v>
      </c>
      <c r="AX44" s="21">
        <v>7</v>
      </c>
      <c r="AY44" s="21">
        <v>9</v>
      </c>
      <c r="AZ44" s="21">
        <v>9</v>
      </c>
      <c r="BA44" s="21">
        <v>9</v>
      </c>
      <c r="BB44" s="21">
        <v>9</v>
      </c>
      <c r="BC44" s="22">
        <v>10</v>
      </c>
    </row>
    <row r="45" spans="1:55" x14ac:dyDescent="0.2">
      <c r="A45" s="18">
        <f t="shared" si="49"/>
        <v>43</v>
      </c>
      <c r="B45" s="19">
        <v>16</v>
      </c>
      <c r="C45" t="s">
        <v>81</v>
      </c>
      <c r="D45" s="20">
        <f t="shared" si="50"/>
        <v>43</v>
      </c>
      <c r="E45" s="21">
        <f t="shared" si="61"/>
        <v>0</v>
      </c>
      <c r="F45" s="21">
        <f t="shared" si="62"/>
        <v>0</v>
      </c>
      <c r="G45" s="21">
        <f t="shared" si="63"/>
        <v>0</v>
      </c>
      <c r="H45" s="21">
        <f t="shared" si="64"/>
        <v>0</v>
      </c>
      <c r="I45" s="21">
        <f t="shared" si="65"/>
        <v>0</v>
      </c>
      <c r="J45" s="21">
        <f t="shared" si="66"/>
        <v>0</v>
      </c>
      <c r="K45" s="21">
        <f t="shared" si="67"/>
        <v>0</v>
      </c>
      <c r="L45" s="21">
        <f t="shared" si="68"/>
        <v>0</v>
      </c>
      <c r="M45" s="21">
        <f t="shared" si="69"/>
        <v>0</v>
      </c>
      <c r="N45" s="21">
        <f t="shared" si="70"/>
        <v>0</v>
      </c>
      <c r="O45" s="21">
        <f t="shared" si="71"/>
        <v>0</v>
      </c>
      <c r="P45" s="21">
        <f t="shared" si="72"/>
        <v>0</v>
      </c>
      <c r="Q45" s="21">
        <f t="shared" si="73"/>
        <v>0</v>
      </c>
      <c r="R45" s="21">
        <f t="shared" si="74"/>
        <v>0</v>
      </c>
      <c r="S45" s="21">
        <f t="shared" si="75"/>
        <v>0</v>
      </c>
      <c r="T45" s="21">
        <f t="shared" ref="T45:AC48" si="76">T44</f>
        <v>0</v>
      </c>
      <c r="U45" s="21">
        <f t="shared" si="76"/>
        <v>0</v>
      </c>
      <c r="V45" s="21">
        <f t="shared" si="76"/>
        <v>1</v>
      </c>
      <c r="W45" s="21">
        <f t="shared" si="76"/>
        <v>1</v>
      </c>
      <c r="X45" s="21">
        <f t="shared" si="76"/>
        <v>1</v>
      </c>
      <c r="Y45" s="21">
        <f t="shared" si="76"/>
        <v>1</v>
      </c>
      <c r="Z45" s="21">
        <f t="shared" si="76"/>
        <v>1</v>
      </c>
      <c r="AA45" s="21">
        <f t="shared" si="76"/>
        <v>1</v>
      </c>
      <c r="AB45" s="21">
        <f t="shared" si="76"/>
        <v>1</v>
      </c>
      <c r="AC45" s="21">
        <f t="shared" si="76"/>
        <v>2</v>
      </c>
      <c r="AD45" s="21">
        <f t="shared" ref="AD45:AM48" si="77">AD44</f>
        <v>2</v>
      </c>
      <c r="AE45" s="21">
        <f t="shared" si="77"/>
        <v>2</v>
      </c>
      <c r="AF45" s="21">
        <f t="shared" si="77"/>
        <v>2</v>
      </c>
      <c r="AG45" s="21">
        <f t="shared" si="77"/>
        <v>2</v>
      </c>
      <c r="AH45" s="21">
        <f t="shared" si="77"/>
        <v>2</v>
      </c>
      <c r="AI45" s="21">
        <f t="shared" si="77"/>
        <v>2</v>
      </c>
      <c r="AJ45" s="21">
        <f t="shared" si="77"/>
        <v>3</v>
      </c>
      <c r="AK45" s="21">
        <f t="shared" si="77"/>
        <v>3</v>
      </c>
      <c r="AL45" s="21">
        <f t="shared" si="77"/>
        <v>3</v>
      </c>
      <c r="AM45" s="21">
        <f t="shared" si="77"/>
        <v>3</v>
      </c>
      <c r="AN45" s="21">
        <f t="shared" ref="AN45:AW48" si="78">AN44</f>
        <v>3</v>
      </c>
      <c r="AO45" s="21">
        <f t="shared" si="78"/>
        <v>5</v>
      </c>
      <c r="AP45" s="21">
        <f t="shared" si="78"/>
        <v>5</v>
      </c>
      <c r="AQ45" s="21">
        <f t="shared" si="78"/>
        <v>5</v>
      </c>
      <c r="AR45" s="21">
        <f t="shared" si="78"/>
        <v>5</v>
      </c>
      <c r="AS45" s="21">
        <f t="shared" si="78"/>
        <v>5</v>
      </c>
      <c r="AT45" s="21">
        <f t="shared" si="78"/>
        <v>7</v>
      </c>
      <c r="AU45" s="21">
        <f t="shared" si="78"/>
        <v>7</v>
      </c>
      <c r="AV45" s="21">
        <f t="shared" si="78"/>
        <v>7</v>
      </c>
      <c r="AW45" s="21">
        <f t="shared" si="78"/>
        <v>7</v>
      </c>
      <c r="AX45" s="21">
        <f t="shared" ref="AX45:BC48" si="79">AX44</f>
        <v>7</v>
      </c>
      <c r="AY45" s="21">
        <f t="shared" si="79"/>
        <v>9</v>
      </c>
      <c r="AZ45" s="21">
        <f t="shared" si="79"/>
        <v>9</v>
      </c>
      <c r="BA45" s="21">
        <f t="shared" si="79"/>
        <v>9</v>
      </c>
      <c r="BB45" s="21">
        <f t="shared" si="79"/>
        <v>9</v>
      </c>
      <c r="BC45" s="22">
        <f t="shared" si="79"/>
        <v>10</v>
      </c>
    </row>
    <row r="46" spans="1:55" x14ac:dyDescent="0.2">
      <c r="A46" s="18">
        <f t="shared" si="49"/>
        <v>44</v>
      </c>
      <c r="B46" s="19">
        <v>17</v>
      </c>
      <c r="C46" t="s">
        <v>81</v>
      </c>
      <c r="D46" s="20">
        <f t="shared" si="50"/>
        <v>44</v>
      </c>
      <c r="E46" s="21">
        <f t="shared" si="61"/>
        <v>0</v>
      </c>
      <c r="F46" s="21">
        <f t="shared" si="62"/>
        <v>0</v>
      </c>
      <c r="G46" s="21">
        <f t="shared" si="63"/>
        <v>0</v>
      </c>
      <c r="H46" s="21">
        <f t="shared" si="64"/>
        <v>0</v>
      </c>
      <c r="I46" s="21">
        <f t="shared" si="65"/>
        <v>0</v>
      </c>
      <c r="J46" s="21">
        <f t="shared" si="66"/>
        <v>0</v>
      </c>
      <c r="K46" s="21">
        <f t="shared" si="67"/>
        <v>0</v>
      </c>
      <c r="L46" s="21">
        <f t="shared" si="68"/>
        <v>0</v>
      </c>
      <c r="M46" s="21">
        <f t="shared" si="69"/>
        <v>0</v>
      </c>
      <c r="N46" s="21">
        <f t="shared" si="70"/>
        <v>0</v>
      </c>
      <c r="O46" s="21">
        <f t="shared" si="71"/>
        <v>0</v>
      </c>
      <c r="P46" s="21">
        <f t="shared" si="72"/>
        <v>0</v>
      </c>
      <c r="Q46" s="21">
        <f t="shared" si="73"/>
        <v>0</v>
      </c>
      <c r="R46" s="21">
        <f t="shared" si="74"/>
        <v>0</v>
      </c>
      <c r="S46" s="21">
        <f t="shared" si="75"/>
        <v>0</v>
      </c>
      <c r="T46" s="21">
        <f t="shared" si="76"/>
        <v>0</v>
      </c>
      <c r="U46" s="21">
        <f t="shared" si="76"/>
        <v>0</v>
      </c>
      <c r="V46" s="21">
        <f t="shared" si="76"/>
        <v>1</v>
      </c>
      <c r="W46" s="21">
        <f t="shared" si="76"/>
        <v>1</v>
      </c>
      <c r="X46" s="21">
        <f t="shared" si="76"/>
        <v>1</v>
      </c>
      <c r="Y46" s="21">
        <f t="shared" si="76"/>
        <v>1</v>
      </c>
      <c r="Z46" s="21">
        <f t="shared" si="76"/>
        <v>1</v>
      </c>
      <c r="AA46" s="21">
        <f t="shared" si="76"/>
        <v>1</v>
      </c>
      <c r="AB46" s="21">
        <f t="shared" si="76"/>
        <v>1</v>
      </c>
      <c r="AC46" s="21">
        <f t="shared" si="76"/>
        <v>2</v>
      </c>
      <c r="AD46" s="21">
        <f t="shared" si="77"/>
        <v>2</v>
      </c>
      <c r="AE46" s="21">
        <f t="shared" si="77"/>
        <v>2</v>
      </c>
      <c r="AF46" s="21">
        <f t="shared" si="77"/>
        <v>2</v>
      </c>
      <c r="AG46" s="21">
        <f t="shared" si="77"/>
        <v>2</v>
      </c>
      <c r="AH46" s="21">
        <f t="shared" si="77"/>
        <v>2</v>
      </c>
      <c r="AI46" s="21">
        <f t="shared" si="77"/>
        <v>2</v>
      </c>
      <c r="AJ46" s="21">
        <f t="shared" si="77"/>
        <v>3</v>
      </c>
      <c r="AK46" s="21">
        <f t="shared" si="77"/>
        <v>3</v>
      </c>
      <c r="AL46" s="21">
        <f t="shared" si="77"/>
        <v>3</v>
      </c>
      <c r="AM46" s="21">
        <f t="shared" si="77"/>
        <v>3</v>
      </c>
      <c r="AN46" s="21">
        <f t="shared" si="78"/>
        <v>3</v>
      </c>
      <c r="AO46" s="21">
        <f t="shared" si="78"/>
        <v>5</v>
      </c>
      <c r="AP46" s="21">
        <f t="shared" si="78"/>
        <v>5</v>
      </c>
      <c r="AQ46" s="21">
        <f t="shared" si="78"/>
        <v>5</v>
      </c>
      <c r="AR46" s="21">
        <f t="shared" si="78"/>
        <v>5</v>
      </c>
      <c r="AS46" s="21">
        <f t="shared" si="78"/>
        <v>5</v>
      </c>
      <c r="AT46" s="21">
        <f t="shared" si="78"/>
        <v>7</v>
      </c>
      <c r="AU46" s="21">
        <f t="shared" si="78"/>
        <v>7</v>
      </c>
      <c r="AV46" s="21">
        <f t="shared" si="78"/>
        <v>7</v>
      </c>
      <c r="AW46" s="21">
        <f t="shared" si="78"/>
        <v>7</v>
      </c>
      <c r="AX46" s="21">
        <f t="shared" si="79"/>
        <v>7</v>
      </c>
      <c r="AY46" s="21">
        <f t="shared" si="79"/>
        <v>9</v>
      </c>
      <c r="AZ46" s="21">
        <f t="shared" si="79"/>
        <v>9</v>
      </c>
      <c r="BA46" s="21">
        <f t="shared" si="79"/>
        <v>9</v>
      </c>
      <c r="BB46" s="21">
        <f t="shared" si="79"/>
        <v>9</v>
      </c>
      <c r="BC46" s="22">
        <f t="shared" si="79"/>
        <v>10</v>
      </c>
    </row>
    <row r="47" spans="1:55" x14ac:dyDescent="0.2">
      <c r="A47" s="18">
        <f t="shared" si="49"/>
        <v>45</v>
      </c>
      <c r="B47" s="19">
        <v>17</v>
      </c>
      <c r="C47" t="s">
        <v>81</v>
      </c>
      <c r="D47" s="20">
        <f t="shared" si="50"/>
        <v>45</v>
      </c>
      <c r="E47" s="21">
        <f t="shared" si="61"/>
        <v>0</v>
      </c>
      <c r="F47" s="21">
        <f t="shared" si="62"/>
        <v>0</v>
      </c>
      <c r="G47" s="21">
        <f t="shared" si="63"/>
        <v>0</v>
      </c>
      <c r="H47" s="21">
        <f t="shared" si="64"/>
        <v>0</v>
      </c>
      <c r="I47" s="21">
        <f t="shared" si="65"/>
        <v>0</v>
      </c>
      <c r="J47" s="21">
        <f t="shared" si="66"/>
        <v>0</v>
      </c>
      <c r="K47" s="21">
        <f t="shared" si="67"/>
        <v>0</v>
      </c>
      <c r="L47" s="21">
        <f t="shared" si="68"/>
        <v>0</v>
      </c>
      <c r="M47" s="21">
        <f t="shared" si="69"/>
        <v>0</v>
      </c>
      <c r="N47" s="21">
        <f t="shared" si="70"/>
        <v>0</v>
      </c>
      <c r="O47" s="21">
        <f t="shared" si="71"/>
        <v>0</v>
      </c>
      <c r="P47" s="21">
        <f t="shared" si="72"/>
        <v>0</v>
      </c>
      <c r="Q47" s="21">
        <f t="shared" si="73"/>
        <v>0</v>
      </c>
      <c r="R47" s="21">
        <f t="shared" si="74"/>
        <v>0</v>
      </c>
      <c r="S47" s="21">
        <f t="shared" si="75"/>
        <v>0</v>
      </c>
      <c r="T47" s="21">
        <f t="shared" si="76"/>
        <v>0</v>
      </c>
      <c r="U47" s="21">
        <f t="shared" si="76"/>
        <v>0</v>
      </c>
      <c r="V47" s="21">
        <f t="shared" si="76"/>
        <v>1</v>
      </c>
      <c r="W47" s="21">
        <f t="shared" si="76"/>
        <v>1</v>
      </c>
      <c r="X47" s="21">
        <f t="shared" si="76"/>
        <v>1</v>
      </c>
      <c r="Y47" s="21">
        <f t="shared" si="76"/>
        <v>1</v>
      </c>
      <c r="Z47" s="21">
        <f t="shared" si="76"/>
        <v>1</v>
      </c>
      <c r="AA47" s="21">
        <f t="shared" si="76"/>
        <v>1</v>
      </c>
      <c r="AB47" s="21">
        <f t="shared" si="76"/>
        <v>1</v>
      </c>
      <c r="AC47" s="21">
        <f t="shared" si="76"/>
        <v>2</v>
      </c>
      <c r="AD47" s="21">
        <f t="shared" si="77"/>
        <v>2</v>
      </c>
      <c r="AE47" s="21">
        <f t="shared" si="77"/>
        <v>2</v>
      </c>
      <c r="AF47" s="21">
        <f t="shared" si="77"/>
        <v>2</v>
      </c>
      <c r="AG47" s="21">
        <f t="shared" si="77"/>
        <v>2</v>
      </c>
      <c r="AH47" s="21">
        <f t="shared" si="77"/>
        <v>2</v>
      </c>
      <c r="AI47" s="21">
        <f t="shared" si="77"/>
        <v>2</v>
      </c>
      <c r="AJ47" s="21">
        <f t="shared" si="77"/>
        <v>3</v>
      </c>
      <c r="AK47" s="21">
        <f t="shared" si="77"/>
        <v>3</v>
      </c>
      <c r="AL47" s="21">
        <f t="shared" si="77"/>
        <v>3</v>
      </c>
      <c r="AM47" s="21">
        <f t="shared" si="77"/>
        <v>3</v>
      </c>
      <c r="AN47" s="21">
        <f t="shared" si="78"/>
        <v>3</v>
      </c>
      <c r="AO47" s="21">
        <f t="shared" si="78"/>
        <v>5</v>
      </c>
      <c r="AP47" s="21">
        <f t="shared" si="78"/>
        <v>5</v>
      </c>
      <c r="AQ47" s="21">
        <f t="shared" si="78"/>
        <v>5</v>
      </c>
      <c r="AR47" s="21">
        <f t="shared" si="78"/>
        <v>5</v>
      </c>
      <c r="AS47" s="21">
        <f t="shared" si="78"/>
        <v>5</v>
      </c>
      <c r="AT47" s="21">
        <f t="shared" si="78"/>
        <v>7</v>
      </c>
      <c r="AU47" s="21">
        <f t="shared" si="78"/>
        <v>7</v>
      </c>
      <c r="AV47" s="21">
        <f t="shared" si="78"/>
        <v>7</v>
      </c>
      <c r="AW47" s="21">
        <f t="shared" si="78"/>
        <v>7</v>
      </c>
      <c r="AX47" s="21">
        <f t="shared" si="79"/>
        <v>7</v>
      </c>
      <c r="AY47" s="21">
        <f t="shared" si="79"/>
        <v>9</v>
      </c>
      <c r="AZ47" s="21">
        <f t="shared" si="79"/>
        <v>9</v>
      </c>
      <c r="BA47" s="21">
        <f t="shared" si="79"/>
        <v>9</v>
      </c>
      <c r="BB47" s="21">
        <f t="shared" si="79"/>
        <v>9</v>
      </c>
      <c r="BC47" s="22">
        <f t="shared" si="79"/>
        <v>10</v>
      </c>
    </row>
    <row r="48" spans="1:55" x14ac:dyDescent="0.2">
      <c r="A48" s="18">
        <f t="shared" si="49"/>
        <v>46</v>
      </c>
      <c r="B48" s="19">
        <v>18</v>
      </c>
      <c r="C48" t="s">
        <v>81</v>
      </c>
      <c r="D48" s="20">
        <f t="shared" si="50"/>
        <v>46</v>
      </c>
      <c r="E48" s="21">
        <f t="shared" si="61"/>
        <v>0</v>
      </c>
      <c r="F48" s="21">
        <f t="shared" si="62"/>
        <v>0</v>
      </c>
      <c r="G48" s="21">
        <f t="shared" si="63"/>
        <v>0</v>
      </c>
      <c r="H48" s="21">
        <f t="shared" si="64"/>
        <v>0</v>
      </c>
      <c r="I48" s="21">
        <f t="shared" si="65"/>
        <v>0</v>
      </c>
      <c r="J48" s="21">
        <f t="shared" si="66"/>
        <v>0</v>
      </c>
      <c r="K48" s="21">
        <f t="shared" si="67"/>
        <v>0</v>
      </c>
      <c r="L48" s="21">
        <f t="shared" si="68"/>
        <v>0</v>
      </c>
      <c r="M48" s="21">
        <f t="shared" si="69"/>
        <v>0</v>
      </c>
      <c r="N48" s="21">
        <f t="shared" si="70"/>
        <v>0</v>
      </c>
      <c r="O48" s="21">
        <f t="shared" si="71"/>
        <v>0</v>
      </c>
      <c r="P48" s="21">
        <f t="shared" si="72"/>
        <v>0</v>
      </c>
      <c r="Q48" s="21">
        <f t="shared" si="73"/>
        <v>0</v>
      </c>
      <c r="R48" s="21">
        <f t="shared" si="74"/>
        <v>0</v>
      </c>
      <c r="S48" s="21">
        <f t="shared" si="75"/>
        <v>0</v>
      </c>
      <c r="T48" s="21">
        <f t="shared" si="76"/>
        <v>0</v>
      </c>
      <c r="U48" s="21">
        <f t="shared" si="76"/>
        <v>0</v>
      </c>
      <c r="V48" s="21">
        <f t="shared" si="76"/>
        <v>1</v>
      </c>
      <c r="W48" s="21">
        <f t="shared" si="76"/>
        <v>1</v>
      </c>
      <c r="X48" s="21">
        <f t="shared" si="76"/>
        <v>1</v>
      </c>
      <c r="Y48" s="21">
        <f t="shared" si="76"/>
        <v>1</v>
      </c>
      <c r="Z48" s="21">
        <f t="shared" si="76"/>
        <v>1</v>
      </c>
      <c r="AA48" s="21">
        <f t="shared" si="76"/>
        <v>1</v>
      </c>
      <c r="AB48" s="21">
        <f t="shared" si="76"/>
        <v>1</v>
      </c>
      <c r="AC48" s="21">
        <f t="shared" si="76"/>
        <v>2</v>
      </c>
      <c r="AD48" s="21">
        <f t="shared" si="77"/>
        <v>2</v>
      </c>
      <c r="AE48" s="21">
        <f t="shared" si="77"/>
        <v>2</v>
      </c>
      <c r="AF48" s="21">
        <f t="shared" si="77"/>
        <v>2</v>
      </c>
      <c r="AG48" s="21">
        <f t="shared" si="77"/>
        <v>2</v>
      </c>
      <c r="AH48" s="21">
        <f t="shared" si="77"/>
        <v>2</v>
      </c>
      <c r="AI48" s="21">
        <f t="shared" si="77"/>
        <v>2</v>
      </c>
      <c r="AJ48" s="21">
        <f t="shared" si="77"/>
        <v>3</v>
      </c>
      <c r="AK48" s="21">
        <f t="shared" si="77"/>
        <v>3</v>
      </c>
      <c r="AL48" s="21">
        <f t="shared" si="77"/>
        <v>3</v>
      </c>
      <c r="AM48" s="21">
        <f t="shared" si="77"/>
        <v>3</v>
      </c>
      <c r="AN48" s="21">
        <f t="shared" si="78"/>
        <v>3</v>
      </c>
      <c r="AO48" s="21">
        <f t="shared" si="78"/>
        <v>5</v>
      </c>
      <c r="AP48" s="21">
        <f t="shared" si="78"/>
        <v>5</v>
      </c>
      <c r="AQ48" s="21">
        <f t="shared" si="78"/>
        <v>5</v>
      </c>
      <c r="AR48" s="21">
        <f t="shared" si="78"/>
        <v>5</v>
      </c>
      <c r="AS48" s="21">
        <f t="shared" si="78"/>
        <v>5</v>
      </c>
      <c r="AT48" s="21">
        <f t="shared" si="78"/>
        <v>7</v>
      </c>
      <c r="AU48" s="21">
        <f t="shared" si="78"/>
        <v>7</v>
      </c>
      <c r="AV48" s="21">
        <f t="shared" si="78"/>
        <v>7</v>
      </c>
      <c r="AW48" s="21">
        <f t="shared" si="78"/>
        <v>7</v>
      </c>
      <c r="AX48" s="21">
        <f t="shared" si="79"/>
        <v>7</v>
      </c>
      <c r="AY48" s="21">
        <f t="shared" si="79"/>
        <v>9</v>
      </c>
      <c r="AZ48" s="21">
        <f t="shared" si="79"/>
        <v>9</v>
      </c>
      <c r="BA48" s="21">
        <f t="shared" si="79"/>
        <v>9</v>
      </c>
      <c r="BB48" s="21">
        <f t="shared" si="79"/>
        <v>9</v>
      </c>
      <c r="BC48" s="22">
        <f t="shared" si="79"/>
        <v>10</v>
      </c>
    </row>
    <row r="49" spans="1:55" x14ac:dyDescent="0.2">
      <c r="A49" s="18">
        <f t="shared" si="49"/>
        <v>47</v>
      </c>
      <c r="B49" s="19">
        <v>18</v>
      </c>
      <c r="C49" t="s">
        <v>81</v>
      </c>
      <c r="D49" s="26">
        <f t="shared" si="50"/>
        <v>47</v>
      </c>
      <c r="E49" s="21">
        <f t="shared" si="61"/>
        <v>0</v>
      </c>
      <c r="F49" s="21">
        <f t="shared" si="62"/>
        <v>0</v>
      </c>
      <c r="G49" s="21">
        <f t="shared" si="63"/>
        <v>0</v>
      </c>
      <c r="H49" s="21">
        <f t="shared" si="64"/>
        <v>0</v>
      </c>
      <c r="I49" s="21">
        <f t="shared" si="65"/>
        <v>0</v>
      </c>
      <c r="J49" s="21">
        <f t="shared" si="66"/>
        <v>0</v>
      </c>
      <c r="K49" s="21">
        <f t="shared" si="67"/>
        <v>0</v>
      </c>
      <c r="L49" s="21">
        <f t="shared" si="68"/>
        <v>0</v>
      </c>
      <c r="M49" s="21">
        <f t="shared" si="69"/>
        <v>0</v>
      </c>
      <c r="N49" s="21">
        <f t="shared" si="70"/>
        <v>0</v>
      </c>
      <c r="O49" s="21">
        <f t="shared" si="71"/>
        <v>0</v>
      </c>
      <c r="P49" s="21">
        <f t="shared" si="72"/>
        <v>0</v>
      </c>
      <c r="Q49" s="21">
        <f t="shared" si="73"/>
        <v>0</v>
      </c>
      <c r="R49" s="21">
        <f t="shared" si="74"/>
        <v>0</v>
      </c>
      <c r="S49" s="21">
        <f t="shared" si="75"/>
        <v>0</v>
      </c>
      <c r="T49" s="21">
        <f t="shared" ref="T49:T80" si="80">T48</f>
        <v>0</v>
      </c>
      <c r="U49" s="21">
        <f t="shared" ref="U49:U80" si="81">U48</f>
        <v>0</v>
      </c>
      <c r="V49" s="21">
        <v>0</v>
      </c>
      <c r="W49" s="21">
        <v>0</v>
      </c>
      <c r="X49" s="21">
        <v>1</v>
      </c>
      <c r="Y49" s="21">
        <v>1</v>
      </c>
      <c r="Z49" s="21">
        <v>1</v>
      </c>
      <c r="AA49" s="21">
        <v>1</v>
      </c>
      <c r="AB49" s="21">
        <v>1</v>
      </c>
      <c r="AC49" s="21">
        <v>1</v>
      </c>
      <c r="AD49" s="21">
        <v>1</v>
      </c>
      <c r="AE49" s="21">
        <v>2</v>
      </c>
      <c r="AF49" s="21">
        <v>2</v>
      </c>
      <c r="AG49" s="21">
        <v>2</v>
      </c>
      <c r="AH49" s="21">
        <v>2</v>
      </c>
      <c r="AI49" s="21">
        <v>2</v>
      </c>
      <c r="AJ49" s="21">
        <v>2</v>
      </c>
      <c r="AK49" s="21">
        <v>2</v>
      </c>
      <c r="AL49" s="21">
        <v>3</v>
      </c>
      <c r="AM49" s="21">
        <v>3</v>
      </c>
      <c r="AN49" s="21">
        <v>3</v>
      </c>
      <c r="AO49" s="21">
        <v>3</v>
      </c>
      <c r="AP49" s="21">
        <v>3</v>
      </c>
      <c r="AQ49" s="21">
        <v>5</v>
      </c>
      <c r="AR49" s="21">
        <v>5</v>
      </c>
      <c r="AS49" s="21">
        <v>5</v>
      </c>
      <c r="AT49" s="21">
        <v>5</v>
      </c>
      <c r="AU49" s="21">
        <v>5</v>
      </c>
      <c r="AV49" s="21">
        <v>7</v>
      </c>
      <c r="AW49" s="21">
        <v>7</v>
      </c>
      <c r="AX49" s="21">
        <v>7</v>
      </c>
      <c r="AY49" s="21">
        <v>7</v>
      </c>
      <c r="AZ49" s="21">
        <v>7</v>
      </c>
      <c r="BA49" s="21">
        <v>9</v>
      </c>
      <c r="BB49" s="21">
        <v>9</v>
      </c>
      <c r="BC49" s="22">
        <v>9</v>
      </c>
    </row>
    <row r="50" spans="1:55" x14ac:dyDescent="0.2">
      <c r="A50" s="18">
        <f t="shared" si="49"/>
        <v>48</v>
      </c>
      <c r="B50" s="19">
        <v>19</v>
      </c>
      <c r="C50" t="s">
        <v>81</v>
      </c>
      <c r="D50" s="20">
        <f t="shared" si="50"/>
        <v>48</v>
      </c>
      <c r="E50" s="21">
        <f t="shared" si="61"/>
        <v>0</v>
      </c>
      <c r="F50" s="21">
        <f t="shared" si="62"/>
        <v>0</v>
      </c>
      <c r="G50" s="21">
        <f t="shared" si="63"/>
        <v>0</v>
      </c>
      <c r="H50" s="21">
        <f t="shared" si="64"/>
        <v>0</v>
      </c>
      <c r="I50" s="21">
        <f t="shared" si="65"/>
        <v>0</v>
      </c>
      <c r="J50" s="21">
        <f t="shared" si="66"/>
        <v>0</v>
      </c>
      <c r="K50" s="21">
        <f t="shared" si="67"/>
        <v>0</v>
      </c>
      <c r="L50" s="21">
        <f t="shared" si="68"/>
        <v>0</v>
      </c>
      <c r="M50" s="21">
        <f t="shared" si="69"/>
        <v>0</v>
      </c>
      <c r="N50" s="21">
        <f t="shared" si="70"/>
        <v>0</v>
      </c>
      <c r="O50" s="21">
        <f t="shared" si="71"/>
        <v>0</v>
      </c>
      <c r="P50" s="21">
        <f t="shared" si="72"/>
        <v>0</v>
      </c>
      <c r="Q50" s="21">
        <f t="shared" si="73"/>
        <v>0</v>
      </c>
      <c r="R50" s="21">
        <f t="shared" si="74"/>
        <v>0</v>
      </c>
      <c r="S50" s="21">
        <f t="shared" si="75"/>
        <v>0</v>
      </c>
      <c r="T50" s="21">
        <f t="shared" si="80"/>
        <v>0</v>
      </c>
      <c r="U50" s="21">
        <f t="shared" si="81"/>
        <v>0</v>
      </c>
      <c r="V50" s="21">
        <f t="shared" ref="V50:AE53" si="82">V49</f>
        <v>0</v>
      </c>
      <c r="W50" s="21">
        <f t="shared" si="82"/>
        <v>0</v>
      </c>
      <c r="X50" s="21">
        <f t="shared" si="82"/>
        <v>1</v>
      </c>
      <c r="Y50" s="21">
        <f t="shared" si="82"/>
        <v>1</v>
      </c>
      <c r="Z50" s="21">
        <f t="shared" si="82"/>
        <v>1</v>
      </c>
      <c r="AA50" s="21">
        <f t="shared" si="82"/>
        <v>1</v>
      </c>
      <c r="AB50" s="21">
        <f t="shared" si="82"/>
        <v>1</v>
      </c>
      <c r="AC50" s="21">
        <f t="shared" si="82"/>
        <v>1</v>
      </c>
      <c r="AD50" s="21">
        <f t="shared" si="82"/>
        <v>1</v>
      </c>
      <c r="AE50" s="21">
        <f t="shared" si="82"/>
        <v>2</v>
      </c>
      <c r="AF50" s="21">
        <f t="shared" ref="AF50:AO53" si="83">AF49</f>
        <v>2</v>
      </c>
      <c r="AG50" s="21">
        <f t="shared" si="83"/>
        <v>2</v>
      </c>
      <c r="AH50" s="21">
        <f t="shared" si="83"/>
        <v>2</v>
      </c>
      <c r="AI50" s="21">
        <f t="shared" si="83"/>
        <v>2</v>
      </c>
      <c r="AJ50" s="21">
        <f t="shared" si="83"/>
        <v>2</v>
      </c>
      <c r="AK50" s="21">
        <f t="shared" si="83"/>
        <v>2</v>
      </c>
      <c r="AL50" s="21">
        <f t="shared" si="83"/>
        <v>3</v>
      </c>
      <c r="AM50" s="21">
        <f t="shared" si="83"/>
        <v>3</v>
      </c>
      <c r="AN50" s="21">
        <f t="shared" si="83"/>
        <v>3</v>
      </c>
      <c r="AO50" s="21">
        <f t="shared" si="83"/>
        <v>3</v>
      </c>
      <c r="AP50" s="21">
        <f t="shared" ref="AP50:AY53" si="84">AP49</f>
        <v>3</v>
      </c>
      <c r="AQ50" s="21">
        <f t="shared" si="84"/>
        <v>5</v>
      </c>
      <c r="AR50" s="21">
        <f t="shared" si="84"/>
        <v>5</v>
      </c>
      <c r="AS50" s="21">
        <f t="shared" si="84"/>
        <v>5</v>
      </c>
      <c r="AT50" s="21">
        <f t="shared" si="84"/>
        <v>5</v>
      </c>
      <c r="AU50" s="21">
        <f t="shared" si="84"/>
        <v>5</v>
      </c>
      <c r="AV50" s="21">
        <f t="shared" si="84"/>
        <v>7</v>
      </c>
      <c r="AW50" s="21">
        <f t="shared" si="84"/>
        <v>7</v>
      </c>
      <c r="AX50" s="21">
        <f t="shared" si="84"/>
        <v>7</v>
      </c>
      <c r="AY50" s="21">
        <f t="shared" si="84"/>
        <v>7</v>
      </c>
      <c r="AZ50" s="21">
        <f t="shared" ref="AZ50:BC53" si="85">AZ49</f>
        <v>7</v>
      </c>
      <c r="BA50" s="21">
        <f t="shared" si="85"/>
        <v>9</v>
      </c>
      <c r="BB50" s="21">
        <f t="shared" si="85"/>
        <v>9</v>
      </c>
      <c r="BC50" s="22">
        <f t="shared" si="85"/>
        <v>9</v>
      </c>
    </row>
    <row r="51" spans="1:55" x14ac:dyDescent="0.2">
      <c r="A51" s="18">
        <f t="shared" si="49"/>
        <v>49</v>
      </c>
      <c r="B51" s="19">
        <v>19</v>
      </c>
      <c r="C51" t="s">
        <v>81</v>
      </c>
      <c r="D51" s="20">
        <f t="shared" si="50"/>
        <v>49</v>
      </c>
      <c r="E51" s="21">
        <f t="shared" si="61"/>
        <v>0</v>
      </c>
      <c r="F51" s="21">
        <f t="shared" si="62"/>
        <v>0</v>
      </c>
      <c r="G51" s="21">
        <f t="shared" si="63"/>
        <v>0</v>
      </c>
      <c r="H51" s="21">
        <f t="shared" si="64"/>
        <v>0</v>
      </c>
      <c r="I51" s="21">
        <f t="shared" si="65"/>
        <v>0</v>
      </c>
      <c r="J51" s="21">
        <f t="shared" si="66"/>
        <v>0</v>
      </c>
      <c r="K51" s="21">
        <f t="shared" si="67"/>
        <v>0</v>
      </c>
      <c r="L51" s="21">
        <f t="shared" si="68"/>
        <v>0</v>
      </c>
      <c r="M51" s="21">
        <f t="shared" si="69"/>
        <v>0</v>
      </c>
      <c r="N51" s="21">
        <f t="shared" si="70"/>
        <v>0</v>
      </c>
      <c r="O51" s="21">
        <f t="shared" si="71"/>
        <v>0</v>
      </c>
      <c r="P51" s="21">
        <f t="shared" si="72"/>
        <v>0</v>
      </c>
      <c r="Q51" s="21">
        <f t="shared" si="73"/>
        <v>0</v>
      </c>
      <c r="R51" s="21">
        <f t="shared" si="74"/>
        <v>0</v>
      </c>
      <c r="S51" s="21">
        <f t="shared" si="75"/>
        <v>0</v>
      </c>
      <c r="T51" s="21">
        <f t="shared" si="80"/>
        <v>0</v>
      </c>
      <c r="U51" s="21">
        <f t="shared" si="81"/>
        <v>0</v>
      </c>
      <c r="V51" s="21">
        <f t="shared" si="82"/>
        <v>0</v>
      </c>
      <c r="W51" s="21">
        <f t="shared" si="82"/>
        <v>0</v>
      </c>
      <c r="X51" s="21">
        <f t="shared" si="82"/>
        <v>1</v>
      </c>
      <c r="Y51" s="21">
        <f t="shared" si="82"/>
        <v>1</v>
      </c>
      <c r="Z51" s="21">
        <f t="shared" si="82"/>
        <v>1</v>
      </c>
      <c r="AA51" s="21">
        <f t="shared" si="82"/>
        <v>1</v>
      </c>
      <c r="AB51" s="21">
        <f t="shared" si="82"/>
        <v>1</v>
      </c>
      <c r="AC51" s="21">
        <f t="shared" si="82"/>
        <v>1</v>
      </c>
      <c r="AD51" s="21">
        <f t="shared" si="82"/>
        <v>1</v>
      </c>
      <c r="AE51" s="21">
        <f t="shared" si="82"/>
        <v>2</v>
      </c>
      <c r="AF51" s="21">
        <f t="shared" si="83"/>
        <v>2</v>
      </c>
      <c r="AG51" s="21">
        <f t="shared" si="83"/>
        <v>2</v>
      </c>
      <c r="AH51" s="21">
        <f t="shared" si="83"/>
        <v>2</v>
      </c>
      <c r="AI51" s="21">
        <f t="shared" si="83"/>
        <v>2</v>
      </c>
      <c r="AJ51" s="21">
        <f t="shared" si="83"/>
        <v>2</v>
      </c>
      <c r="AK51" s="21">
        <f t="shared" si="83"/>
        <v>2</v>
      </c>
      <c r="AL51" s="21">
        <f t="shared" si="83"/>
        <v>3</v>
      </c>
      <c r="AM51" s="21">
        <f t="shared" si="83"/>
        <v>3</v>
      </c>
      <c r="AN51" s="21">
        <f t="shared" si="83"/>
        <v>3</v>
      </c>
      <c r="AO51" s="21">
        <f t="shared" si="83"/>
        <v>3</v>
      </c>
      <c r="AP51" s="21">
        <f t="shared" si="84"/>
        <v>3</v>
      </c>
      <c r="AQ51" s="21">
        <f t="shared" si="84"/>
        <v>5</v>
      </c>
      <c r="AR51" s="21">
        <f t="shared" si="84"/>
        <v>5</v>
      </c>
      <c r="AS51" s="21">
        <f t="shared" si="84"/>
        <v>5</v>
      </c>
      <c r="AT51" s="21">
        <f t="shared" si="84"/>
        <v>5</v>
      </c>
      <c r="AU51" s="21">
        <f t="shared" si="84"/>
        <v>5</v>
      </c>
      <c r="AV51" s="21">
        <f t="shared" si="84"/>
        <v>7</v>
      </c>
      <c r="AW51" s="21">
        <f t="shared" si="84"/>
        <v>7</v>
      </c>
      <c r="AX51" s="21">
        <f t="shared" si="84"/>
        <v>7</v>
      </c>
      <c r="AY51" s="21">
        <f t="shared" si="84"/>
        <v>7</v>
      </c>
      <c r="AZ51" s="21">
        <f t="shared" si="85"/>
        <v>7</v>
      </c>
      <c r="BA51" s="21">
        <f t="shared" si="85"/>
        <v>9</v>
      </c>
      <c r="BB51" s="21">
        <f t="shared" si="85"/>
        <v>9</v>
      </c>
      <c r="BC51" s="22">
        <f t="shared" si="85"/>
        <v>9</v>
      </c>
    </row>
    <row r="52" spans="1:55" ht="13.5" thickBot="1" x14ac:dyDescent="0.25">
      <c r="A52" s="28">
        <f t="shared" si="49"/>
        <v>50</v>
      </c>
      <c r="B52" s="29">
        <v>20</v>
      </c>
      <c r="C52" t="s">
        <v>81</v>
      </c>
      <c r="D52" s="20">
        <f t="shared" si="50"/>
        <v>50</v>
      </c>
      <c r="E52" s="21">
        <f t="shared" si="61"/>
        <v>0</v>
      </c>
      <c r="F52" s="21">
        <f t="shared" si="62"/>
        <v>0</v>
      </c>
      <c r="G52" s="21">
        <f t="shared" si="63"/>
        <v>0</v>
      </c>
      <c r="H52" s="21">
        <f t="shared" si="64"/>
        <v>0</v>
      </c>
      <c r="I52" s="21">
        <f t="shared" si="65"/>
        <v>0</v>
      </c>
      <c r="J52" s="21">
        <f t="shared" si="66"/>
        <v>0</v>
      </c>
      <c r="K52" s="21">
        <f t="shared" si="67"/>
        <v>0</v>
      </c>
      <c r="L52" s="21">
        <f t="shared" si="68"/>
        <v>0</v>
      </c>
      <c r="M52" s="21">
        <f t="shared" si="69"/>
        <v>0</v>
      </c>
      <c r="N52" s="21">
        <f t="shared" si="70"/>
        <v>0</v>
      </c>
      <c r="O52" s="21">
        <f t="shared" si="71"/>
        <v>0</v>
      </c>
      <c r="P52" s="21">
        <f t="shared" si="72"/>
        <v>0</v>
      </c>
      <c r="Q52" s="21">
        <f t="shared" si="73"/>
        <v>0</v>
      </c>
      <c r="R52" s="21">
        <f t="shared" si="74"/>
        <v>0</v>
      </c>
      <c r="S52" s="21">
        <f t="shared" si="75"/>
        <v>0</v>
      </c>
      <c r="T52" s="21">
        <f t="shared" si="80"/>
        <v>0</v>
      </c>
      <c r="U52" s="21">
        <f t="shared" si="81"/>
        <v>0</v>
      </c>
      <c r="V52" s="21">
        <f t="shared" si="82"/>
        <v>0</v>
      </c>
      <c r="W52" s="21">
        <f t="shared" si="82"/>
        <v>0</v>
      </c>
      <c r="X52" s="21">
        <f t="shared" si="82"/>
        <v>1</v>
      </c>
      <c r="Y52" s="21">
        <f t="shared" si="82"/>
        <v>1</v>
      </c>
      <c r="Z52" s="21">
        <f t="shared" si="82"/>
        <v>1</v>
      </c>
      <c r="AA52" s="21">
        <f t="shared" si="82"/>
        <v>1</v>
      </c>
      <c r="AB52" s="21">
        <f t="shared" si="82"/>
        <v>1</v>
      </c>
      <c r="AC52" s="21">
        <f t="shared" si="82"/>
        <v>1</v>
      </c>
      <c r="AD52" s="21">
        <f t="shared" si="82"/>
        <v>1</v>
      </c>
      <c r="AE52" s="21">
        <f t="shared" si="82"/>
        <v>2</v>
      </c>
      <c r="AF52" s="21">
        <f t="shared" si="83"/>
        <v>2</v>
      </c>
      <c r="AG52" s="21">
        <f t="shared" si="83"/>
        <v>2</v>
      </c>
      <c r="AH52" s="21">
        <f t="shared" si="83"/>
        <v>2</v>
      </c>
      <c r="AI52" s="21">
        <f t="shared" si="83"/>
        <v>2</v>
      </c>
      <c r="AJ52" s="21">
        <f t="shared" si="83"/>
        <v>2</v>
      </c>
      <c r="AK52" s="21">
        <f t="shared" si="83"/>
        <v>2</v>
      </c>
      <c r="AL52" s="21">
        <f t="shared" si="83"/>
        <v>3</v>
      </c>
      <c r="AM52" s="21">
        <f t="shared" si="83"/>
        <v>3</v>
      </c>
      <c r="AN52" s="21">
        <f t="shared" si="83"/>
        <v>3</v>
      </c>
      <c r="AO52" s="21">
        <f t="shared" si="83"/>
        <v>3</v>
      </c>
      <c r="AP52" s="21">
        <f t="shared" si="84"/>
        <v>3</v>
      </c>
      <c r="AQ52" s="21">
        <f t="shared" si="84"/>
        <v>5</v>
      </c>
      <c r="AR52" s="21">
        <f t="shared" si="84"/>
        <v>5</v>
      </c>
      <c r="AS52" s="21">
        <f t="shared" si="84"/>
        <v>5</v>
      </c>
      <c r="AT52" s="21">
        <f t="shared" si="84"/>
        <v>5</v>
      </c>
      <c r="AU52" s="21">
        <f t="shared" si="84"/>
        <v>5</v>
      </c>
      <c r="AV52" s="21">
        <f t="shared" si="84"/>
        <v>7</v>
      </c>
      <c r="AW52" s="21">
        <f t="shared" si="84"/>
        <v>7</v>
      </c>
      <c r="AX52" s="21">
        <f t="shared" si="84"/>
        <v>7</v>
      </c>
      <c r="AY52" s="21">
        <f t="shared" si="84"/>
        <v>7</v>
      </c>
      <c r="AZ52" s="21">
        <f t="shared" si="85"/>
        <v>7</v>
      </c>
      <c r="BA52" s="21">
        <f t="shared" si="85"/>
        <v>9</v>
      </c>
      <c r="BB52" s="21">
        <f t="shared" si="85"/>
        <v>9</v>
      </c>
      <c r="BC52" s="22">
        <f t="shared" si="85"/>
        <v>9</v>
      </c>
    </row>
    <row r="53" spans="1:55" x14ac:dyDescent="0.2">
      <c r="C53" t="s">
        <v>81</v>
      </c>
      <c r="D53" s="20">
        <f t="shared" si="50"/>
        <v>51</v>
      </c>
      <c r="E53" s="21">
        <f t="shared" si="61"/>
        <v>0</v>
      </c>
      <c r="F53" s="21">
        <f t="shared" si="62"/>
        <v>0</v>
      </c>
      <c r="G53" s="21">
        <f t="shared" si="63"/>
        <v>0</v>
      </c>
      <c r="H53" s="21">
        <f t="shared" si="64"/>
        <v>0</v>
      </c>
      <c r="I53" s="21">
        <f t="shared" si="65"/>
        <v>0</v>
      </c>
      <c r="J53" s="21">
        <f t="shared" si="66"/>
        <v>0</v>
      </c>
      <c r="K53" s="21">
        <f t="shared" si="67"/>
        <v>0</v>
      </c>
      <c r="L53" s="21">
        <f t="shared" si="68"/>
        <v>0</v>
      </c>
      <c r="M53" s="21">
        <f t="shared" si="69"/>
        <v>0</v>
      </c>
      <c r="N53" s="21">
        <f t="shared" si="70"/>
        <v>0</v>
      </c>
      <c r="O53" s="21">
        <f t="shared" si="71"/>
        <v>0</v>
      </c>
      <c r="P53" s="21">
        <f t="shared" si="72"/>
        <v>0</v>
      </c>
      <c r="Q53" s="21">
        <f t="shared" si="73"/>
        <v>0</v>
      </c>
      <c r="R53" s="21">
        <f t="shared" si="74"/>
        <v>0</v>
      </c>
      <c r="S53" s="21">
        <f t="shared" si="75"/>
        <v>0</v>
      </c>
      <c r="T53" s="21">
        <f t="shared" si="80"/>
        <v>0</v>
      </c>
      <c r="U53" s="21">
        <f t="shared" si="81"/>
        <v>0</v>
      </c>
      <c r="V53" s="21">
        <f t="shared" si="82"/>
        <v>0</v>
      </c>
      <c r="W53" s="21">
        <f t="shared" si="82"/>
        <v>0</v>
      </c>
      <c r="X53" s="21">
        <f t="shared" si="82"/>
        <v>1</v>
      </c>
      <c r="Y53" s="21">
        <f t="shared" si="82"/>
        <v>1</v>
      </c>
      <c r="Z53" s="21">
        <f t="shared" si="82"/>
        <v>1</v>
      </c>
      <c r="AA53" s="21">
        <f t="shared" si="82"/>
        <v>1</v>
      </c>
      <c r="AB53" s="21">
        <f t="shared" si="82"/>
        <v>1</v>
      </c>
      <c r="AC53" s="21">
        <f t="shared" si="82"/>
        <v>1</v>
      </c>
      <c r="AD53" s="21">
        <f t="shared" si="82"/>
        <v>1</v>
      </c>
      <c r="AE53" s="21">
        <f t="shared" si="82"/>
        <v>2</v>
      </c>
      <c r="AF53" s="21">
        <f t="shared" si="83"/>
        <v>2</v>
      </c>
      <c r="AG53" s="21">
        <f t="shared" si="83"/>
        <v>2</v>
      </c>
      <c r="AH53" s="21">
        <f t="shared" si="83"/>
        <v>2</v>
      </c>
      <c r="AI53" s="21">
        <f t="shared" si="83"/>
        <v>2</v>
      </c>
      <c r="AJ53" s="21">
        <f t="shared" si="83"/>
        <v>2</v>
      </c>
      <c r="AK53" s="21">
        <f t="shared" si="83"/>
        <v>2</v>
      </c>
      <c r="AL53" s="21">
        <f t="shared" si="83"/>
        <v>3</v>
      </c>
      <c r="AM53" s="21">
        <f t="shared" si="83"/>
        <v>3</v>
      </c>
      <c r="AN53" s="21">
        <f t="shared" si="83"/>
        <v>3</v>
      </c>
      <c r="AO53" s="21">
        <f t="shared" si="83"/>
        <v>3</v>
      </c>
      <c r="AP53" s="21">
        <f t="shared" si="84"/>
        <v>3</v>
      </c>
      <c r="AQ53" s="21">
        <f t="shared" si="84"/>
        <v>5</v>
      </c>
      <c r="AR53" s="21">
        <f t="shared" si="84"/>
        <v>5</v>
      </c>
      <c r="AS53" s="21">
        <f t="shared" si="84"/>
        <v>5</v>
      </c>
      <c r="AT53" s="21">
        <f t="shared" si="84"/>
        <v>5</v>
      </c>
      <c r="AU53" s="21">
        <f t="shared" si="84"/>
        <v>5</v>
      </c>
      <c r="AV53" s="21">
        <f t="shared" si="84"/>
        <v>7</v>
      </c>
      <c r="AW53" s="21">
        <f t="shared" si="84"/>
        <v>7</v>
      </c>
      <c r="AX53" s="21">
        <f t="shared" si="84"/>
        <v>7</v>
      </c>
      <c r="AY53" s="21">
        <f t="shared" si="84"/>
        <v>7</v>
      </c>
      <c r="AZ53" s="21">
        <f t="shared" si="85"/>
        <v>7</v>
      </c>
      <c r="BA53" s="21">
        <f t="shared" si="85"/>
        <v>9</v>
      </c>
      <c r="BB53" s="21">
        <f t="shared" si="85"/>
        <v>9</v>
      </c>
      <c r="BC53" s="22">
        <f t="shared" si="85"/>
        <v>9</v>
      </c>
    </row>
    <row r="54" spans="1:55" x14ac:dyDescent="0.2">
      <c r="C54" t="s">
        <v>81</v>
      </c>
      <c r="D54" s="20">
        <f t="shared" si="50"/>
        <v>52</v>
      </c>
      <c r="E54" s="21">
        <f t="shared" si="61"/>
        <v>0</v>
      </c>
      <c r="F54" s="21">
        <f t="shared" si="62"/>
        <v>0</v>
      </c>
      <c r="G54" s="21">
        <f t="shared" si="63"/>
        <v>0</v>
      </c>
      <c r="H54" s="21">
        <f t="shared" si="64"/>
        <v>0</v>
      </c>
      <c r="I54" s="21">
        <f t="shared" si="65"/>
        <v>0</v>
      </c>
      <c r="J54" s="21">
        <f t="shared" si="66"/>
        <v>0</v>
      </c>
      <c r="K54" s="21">
        <f t="shared" si="67"/>
        <v>0</v>
      </c>
      <c r="L54" s="21">
        <f t="shared" si="68"/>
        <v>0</v>
      </c>
      <c r="M54" s="21">
        <f t="shared" si="69"/>
        <v>0</v>
      </c>
      <c r="N54" s="21">
        <f t="shared" si="70"/>
        <v>0</v>
      </c>
      <c r="O54" s="21">
        <f t="shared" si="71"/>
        <v>0</v>
      </c>
      <c r="P54" s="21">
        <f t="shared" si="72"/>
        <v>0</v>
      </c>
      <c r="Q54" s="21">
        <f t="shared" si="73"/>
        <v>0</v>
      </c>
      <c r="R54" s="21">
        <f t="shared" si="74"/>
        <v>0</v>
      </c>
      <c r="S54" s="21">
        <f t="shared" si="75"/>
        <v>0</v>
      </c>
      <c r="T54" s="21">
        <f t="shared" si="80"/>
        <v>0</v>
      </c>
      <c r="U54" s="21">
        <f t="shared" si="81"/>
        <v>0</v>
      </c>
      <c r="V54" s="21">
        <f t="shared" ref="V54:V85" si="86">V53</f>
        <v>0</v>
      </c>
      <c r="W54" s="21">
        <f t="shared" ref="W54:W85" si="87">W53</f>
        <v>0</v>
      </c>
      <c r="X54" s="21">
        <v>0</v>
      </c>
      <c r="Y54" s="21">
        <v>0</v>
      </c>
      <c r="Z54" s="21">
        <v>1</v>
      </c>
      <c r="AA54" s="21">
        <v>1</v>
      </c>
      <c r="AB54" s="21">
        <v>1</v>
      </c>
      <c r="AC54" s="21">
        <v>1</v>
      </c>
      <c r="AD54" s="21">
        <v>1</v>
      </c>
      <c r="AE54" s="21">
        <v>1</v>
      </c>
      <c r="AF54" s="21">
        <v>1</v>
      </c>
      <c r="AG54" s="21">
        <v>2</v>
      </c>
      <c r="AH54" s="21">
        <v>2</v>
      </c>
      <c r="AI54" s="21">
        <v>2</v>
      </c>
      <c r="AJ54" s="21">
        <v>2</v>
      </c>
      <c r="AK54" s="21">
        <v>2</v>
      </c>
      <c r="AL54" s="21">
        <v>2</v>
      </c>
      <c r="AM54" s="21">
        <v>2</v>
      </c>
      <c r="AN54" s="21">
        <v>3</v>
      </c>
      <c r="AO54" s="21">
        <v>3</v>
      </c>
      <c r="AP54" s="21">
        <v>3</v>
      </c>
      <c r="AQ54" s="21">
        <v>3</v>
      </c>
      <c r="AR54" s="21">
        <v>3</v>
      </c>
      <c r="AS54" s="21">
        <v>5</v>
      </c>
      <c r="AT54" s="21">
        <v>5</v>
      </c>
      <c r="AU54" s="21">
        <v>5</v>
      </c>
      <c r="AV54" s="21">
        <v>5</v>
      </c>
      <c r="AW54" s="21">
        <v>5</v>
      </c>
      <c r="AX54" s="21">
        <v>7</v>
      </c>
      <c r="AY54" s="21">
        <v>7</v>
      </c>
      <c r="AZ54" s="21">
        <v>7</v>
      </c>
      <c r="BA54" s="21">
        <v>7</v>
      </c>
      <c r="BB54" s="21">
        <v>7</v>
      </c>
      <c r="BC54" s="22">
        <v>9</v>
      </c>
    </row>
    <row r="55" spans="1:55" x14ac:dyDescent="0.2">
      <c r="C55" t="s">
        <v>81</v>
      </c>
      <c r="D55" s="20">
        <f t="shared" si="50"/>
        <v>53</v>
      </c>
      <c r="E55" s="21">
        <f t="shared" si="61"/>
        <v>0</v>
      </c>
      <c r="F55" s="21">
        <f t="shared" si="62"/>
        <v>0</v>
      </c>
      <c r="G55" s="21">
        <f t="shared" si="63"/>
        <v>0</v>
      </c>
      <c r="H55" s="21">
        <f t="shared" si="64"/>
        <v>0</v>
      </c>
      <c r="I55" s="21">
        <f t="shared" si="65"/>
        <v>0</v>
      </c>
      <c r="J55" s="21">
        <f t="shared" si="66"/>
        <v>0</v>
      </c>
      <c r="K55" s="21">
        <f t="shared" si="67"/>
        <v>0</v>
      </c>
      <c r="L55" s="21">
        <f t="shared" si="68"/>
        <v>0</v>
      </c>
      <c r="M55" s="21">
        <f t="shared" si="69"/>
        <v>0</v>
      </c>
      <c r="N55" s="21">
        <f t="shared" si="70"/>
        <v>0</v>
      </c>
      <c r="O55" s="21">
        <f t="shared" si="71"/>
        <v>0</v>
      </c>
      <c r="P55" s="21">
        <f t="shared" si="72"/>
        <v>0</v>
      </c>
      <c r="Q55" s="21">
        <f t="shared" si="73"/>
        <v>0</v>
      </c>
      <c r="R55" s="21">
        <f t="shared" si="74"/>
        <v>0</v>
      </c>
      <c r="S55" s="21">
        <f t="shared" si="75"/>
        <v>0</v>
      </c>
      <c r="T55" s="21">
        <f t="shared" si="80"/>
        <v>0</v>
      </c>
      <c r="U55" s="21">
        <f t="shared" si="81"/>
        <v>0</v>
      </c>
      <c r="V55" s="21">
        <f t="shared" si="86"/>
        <v>0</v>
      </c>
      <c r="W55" s="21">
        <f t="shared" si="87"/>
        <v>0</v>
      </c>
      <c r="X55" s="21">
        <f t="shared" ref="X55:AG58" si="88">X54</f>
        <v>0</v>
      </c>
      <c r="Y55" s="21">
        <f t="shared" si="88"/>
        <v>0</v>
      </c>
      <c r="Z55" s="21">
        <f t="shared" si="88"/>
        <v>1</v>
      </c>
      <c r="AA55" s="21">
        <f t="shared" si="88"/>
        <v>1</v>
      </c>
      <c r="AB55" s="21">
        <f t="shared" si="88"/>
        <v>1</v>
      </c>
      <c r="AC55" s="21">
        <f t="shared" si="88"/>
        <v>1</v>
      </c>
      <c r="AD55" s="21">
        <f t="shared" si="88"/>
        <v>1</v>
      </c>
      <c r="AE55" s="21">
        <f t="shared" si="88"/>
        <v>1</v>
      </c>
      <c r="AF55" s="21">
        <f t="shared" si="88"/>
        <v>1</v>
      </c>
      <c r="AG55" s="21">
        <f t="shared" si="88"/>
        <v>2</v>
      </c>
      <c r="AH55" s="21">
        <f t="shared" ref="AH55:AQ58" si="89">AH54</f>
        <v>2</v>
      </c>
      <c r="AI55" s="21">
        <f t="shared" si="89"/>
        <v>2</v>
      </c>
      <c r="AJ55" s="21">
        <f t="shared" si="89"/>
        <v>2</v>
      </c>
      <c r="AK55" s="21">
        <f t="shared" si="89"/>
        <v>2</v>
      </c>
      <c r="AL55" s="21">
        <f t="shared" si="89"/>
        <v>2</v>
      </c>
      <c r="AM55" s="21">
        <f t="shared" si="89"/>
        <v>2</v>
      </c>
      <c r="AN55" s="21">
        <f t="shared" si="89"/>
        <v>3</v>
      </c>
      <c r="AO55" s="21">
        <f t="shared" si="89"/>
        <v>3</v>
      </c>
      <c r="AP55" s="21">
        <f t="shared" si="89"/>
        <v>3</v>
      </c>
      <c r="AQ55" s="21">
        <f t="shared" si="89"/>
        <v>3</v>
      </c>
      <c r="AR55" s="21">
        <f t="shared" ref="AR55:BA58" si="90">AR54</f>
        <v>3</v>
      </c>
      <c r="AS55" s="21">
        <f t="shared" si="90"/>
        <v>5</v>
      </c>
      <c r="AT55" s="21">
        <f t="shared" si="90"/>
        <v>5</v>
      </c>
      <c r="AU55" s="21">
        <f t="shared" si="90"/>
        <v>5</v>
      </c>
      <c r="AV55" s="21">
        <f t="shared" si="90"/>
        <v>5</v>
      </c>
      <c r="AW55" s="21">
        <f t="shared" si="90"/>
        <v>5</v>
      </c>
      <c r="AX55" s="21">
        <f t="shared" si="90"/>
        <v>7</v>
      </c>
      <c r="AY55" s="21">
        <f t="shared" si="90"/>
        <v>7</v>
      </c>
      <c r="AZ55" s="21">
        <f t="shared" si="90"/>
        <v>7</v>
      </c>
      <c r="BA55" s="21">
        <f t="shared" si="90"/>
        <v>7</v>
      </c>
      <c r="BB55" s="21">
        <f t="shared" ref="BB55:BC58" si="91">BB54</f>
        <v>7</v>
      </c>
      <c r="BC55" s="22">
        <f t="shared" si="91"/>
        <v>9</v>
      </c>
    </row>
    <row r="56" spans="1:55" x14ac:dyDescent="0.2">
      <c r="C56" t="s">
        <v>81</v>
      </c>
      <c r="D56" s="20">
        <f t="shared" si="50"/>
        <v>54</v>
      </c>
      <c r="E56" s="21">
        <f t="shared" si="61"/>
        <v>0</v>
      </c>
      <c r="F56" s="21">
        <f t="shared" si="62"/>
        <v>0</v>
      </c>
      <c r="G56" s="21">
        <f t="shared" si="63"/>
        <v>0</v>
      </c>
      <c r="H56" s="21">
        <f t="shared" si="64"/>
        <v>0</v>
      </c>
      <c r="I56" s="21">
        <f t="shared" si="65"/>
        <v>0</v>
      </c>
      <c r="J56" s="21">
        <f t="shared" si="66"/>
        <v>0</v>
      </c>
      <c r="K56" s="21">
        <f t="shared" si="67"/>
        <v>0</v>
      </c>
      <c r="L56" s="21">
        <f t="shared" si="68"/>
        <v>0</v>
      </c>
      <c r="M56" s="21">
        <f t="shared" si="69"/>
        <v>0</v>
      </c>
      <c r="N56" s="21">
        <f t="shared" si="70"/>
        <v>0</v>
      </c>
      <c r="O56" s="21">
        <f t="shared" si="71"/>
        <v>0</v>
      </c>
      <c r="P56" s="21">
        <f t="shared" si="72"/>
        <v>0</v>
      </c>
      <c r="Q56" s="21">
        <f t="shared" si="73"/>
        <v>0</v>
      </c>
      <c r="R56" s="21">
        <f t="shared" si="74"/>
        <v>0</v>
      </c>
      <c r="S56" s="21">
        <f t="shared" si="75"/>
        <v>0</v>
      </c>
      <c r="T56" s="21">
        <f t="shared" si="80"/>
        <v>0</v>
      </c>
      <c r="U56" s="21">
        <f t="shared" si="81"/>
        <v>0</v>
      </c>
      <c r="V56" s="21">
        <f t="shared" si="86"/>
        <v>0</v>
      </c>
      <c r="W56" s="21">
        <f t="shared" si="87"/>
        <v>0</v>
      </c>
      <c r="X56" s="21">
        <f t="shared" si="88"/>
        <v>0</v>
      </c>
      <c r="Y56" s="21">
        <f t="shared" si="88"/>
        <v>0</v>
      </c>
      <c r="Z56" s="21">
        <f t="shared" si="88"/>
        <v>1</v>
      </c>
      <c r="AA56" s="21">
        <f t="shared" si="88"/>
        <v>1</v>
      </c>
      <c r="AB56" s="21">
        <f t="shared" si="88"/>
        <v>1</v>
      </c>
      <c r="AC56" s="21">
        <f t="shared" si="88"/>
        <v>1</v>
      </c>
      <c r="AD56" s="21">
        <f t="shared" si="88"/>
        <v>1</v>
      </c>
      <c r="AE56" s="21">
        <f t="shared" si="88"/>
        <v>1</v>
      </c>
      <c r="AF56" s="21">
        <f t="shared" si="88"/>
        <v>1</v>
      </c>
      <c r="AG56" s="21">
        <f t="shared" si="88"/>
        <v>2</v>
      </c>
      <c r="AH56" s="21">
        <f t="shared" si="89"/>
        <v>2</v>
      </c>
      <c r="AI56" s="21">
        <f t="shared" si="89"/>
        <v>2</v>
      </c>
      <c r="AJ56" s="21">
        <f t="shared" si="89"/>
        <v>2</v>
      </c>
      <c r="AK56" s="21">
        <f t="shared" si="89"/>
        <v>2</v>
      </c>
      <c r="AL56" s="21">
        <f t="shared" si="89"/>
        <v>2</v>
      </c>
      <c r="AM56" s="21">
        <f t="shared" si="89"/>
        <v>2</v>
      </c>
      <c r="AN56" s="21">
        <f t="shared" si="89"/>
        <v>3</v>
      </c>
      <c r="AO56" s="21">
        <f t="shared" si="89"/>
        <v>3</v>
      </c>
      <c r="AP56" s="21">
        <f t="shared" si="89"/>
        <v>3</v>
      </c>
      <c r="AQ56" s="21">
        <f t="shared" si="89"/>
        <v>3</v>
      </c>
      <c r="AR56" s="21">
        <f t="shared" si="90"/>
        <v>3</v>
      </c>
      <c r="AS56" s="21">
        <f t="shared" si="90"/>
        <v>5</v>
      </c>
      <c r="AT56" s="21">
        <f t="shared" si="90"/>
        <v>5</v>
      </c>
      <c r="AU56" s="21">
        <f t="shared" si="90"/>
        <v>5</v>
      </c>
      <c r="AV56" s="21">
        <f t="shared" si="90"/>
        <v>5</v>
      </c>
      <c r="AW56" s="21">
        <f t="shared" si="90"/>
        <v>5</v>
      </c>
      <c r="AX56" s="21">
        <f t="shared" si="90"/>
        <v>7</v>
      </c>
      <c r="AY56" s="21">
        <f t="shared" si="90"/>
        <v>7</v>
      </c>
      <c r="AZ56" s="21">
        <f t="shared" si="90"/>
        <v>7</v>
      </c>
      <c r="BA56" s="21">
        <f t="shared" si="90"/>
        <v>7</v>
      </c>
      <c r="BB56" s="21">
        <f t="shared" si="91"/>
        <v>7</v>
      </c>
      <c r="BC56" s="22">
        <f t="shared" si="91"/>
        <v>9</v>
      </c>
    </row>
    <row r="57" spans="1:55" x14ac:dyDescent="0.2">
      <c r="D57" s="20">
        <f t="shared" si="50"/>
        <v>55</v>
      </c>
      <c r="E57" s="21">
        <f t="shared" si="61"/>
        <v>0</v>
      </c>
      <c r="F57" s="21">
        <f t="shared" si="62"/>
        <v>0</v>
      </c>
      <c r="G57" s="21">
        <f t="shared" si="63"/>
        <v>0</v>
      </c>
      <c r="H57" s="21">
        <f t="shared" si="64"/>
        <v>0</v>
      </c>
      <c r="I57" s="21">
        <f t="shared" si="65"/>
        <v>0</v>
      </c>
      <c r="J57" s="21">
        <f t="shared" si="66"/>
        <v>0</v>
      </c>
      <c r="K57" s="21">
        <f t="shared" si="67"/>
        <v>0</v>
      </c>
      <c r="L57" s="21">
        <f t="shared" si="68"/>
        <v>0</v>
      </c>
      <c r="M57" s="21">
        <f t="shared" si="69"/>
        <v>0</v>
      </c>
      <c r="N57" s="21">
        <f t="shared" si="70"/>
        <v>0</v>
      </c>
      <c r="O57" s="21">
        <f t="shared" si="71"/>
        <v>0</v>
      </c>
      <c r="P57" s="21">
        <f t="shared" si="72"/>
        <v>0</v>
      </c>
      <c r="Q57" s="21">
        <f t="shared" si="73"/>
        <v>0</v>
      </c>
      <c r="R57" s="21">
        <f t="shared" si="74"/>
        <v>0</v>
      </c>
      <c r="S57" s="21">
        <f t="shared" si="75"/>
        <v>0</v>
      </c>
      <c r="T57" s="21">
        <f t="shared" si="80"/>
        <v>0</v>
      </c>
      <c r="U57" s="21">
        <f t="shared" si="81"/>
        <v>0</v>
      </c>
      <c r="V57" s="21">
        <f t="shared" si="86"/>
        <v>0</v>
      </c>
      <c r="W57" s="21">
        <f t="shared" si="87"/>
        <v>0</v>
      </c>
      <c r="X57" s="21">
        <f t="shared" si="88"/>
        <v>0</v>
      </c>
      <c r="Y57" s="21">
        <f t="shared" si="88"/>
        <v>0</v>
      </c>
      <c r="Z57" s="21">
        <f t="shared" si="88"/>
        <v>1</v>
      </c>
      <c r="AA57" s="21">
        <f t="shared" si="88"/>
        <v>1</v>
      </c>
      <c r="AB57" s="21">
        <f t="shared" si="88"/>
        <v>1</v>
      </c>
      <c r="AC57" s="21">
        <f t="shared" si="88"/>
        <v>1</v>
      </c>
      <c r="AD57" s="21">
        <f t="shared" si="88"/>
        <v>1</v>
      </c>
      <c r="AE57" s="21">
        <f t="shared" si="88"/>
        <v>1</v>
      </c>
      <c r="AF57" s="21">
        <f t="shared" si="88"/>
        <v>1</v>
      </c>
      <c r="AG57" s="21">
        <f t="shared" si="88"/>
        <v>2</v>
      </c>
      <c r="AH57" s="21">
        <f t="shared" si="89"/>
        <v>2</v>
      </c>
      <c r="AI57" s="21">
        <f t="shared" si="89"/>
        <v>2</v>
      </c>
      <c r="AJ57" s="21">
        <f t="shared" si="89"/>
        <v>2</v>
      </c>
      <c r="AK57" s="21">
        <f t="shared" si="89"/>
        <v>2</v>
      </c>
      <c r="AL57" s="21">
        <f t="shared" si="89"/>
        <v>2</v>
      </c>
      <c r="AM57" s="21">
        <f t="shared" si="89"/>
        <v>2</v>
      </c>
      <c r="AN57" s="21">
        <f t="shared" si="89"/>
        <v>3</v>
      </c>
      <c r="AO57" s="21">
        <f t="shared" si="89"/>
        <v>3</v>
      </c>
      <c r="AP57" s="21">
        <f t="shared" si="89"/>
        <v>3</v>
      </c>
      <c r="AQ57" s="21">
        <f t="shared" si="89"/>
        <v>3</v>
      </c>
      <c r="AR57" s="21">
        <f t="shared" si="90"/>
        <v>3</v>
      </c>
      <c r="AS57" s="21">
        <f t="shared" si="90"/>
        <v>5</v>
      </c>
      <c r="AT57" s="21">
        <f t="shared" si="90"/>
        <v>5</v>
      </c>
      <c r="AU57" s="21">
        <f t="shared" si="90"/>
        <v>5</v>
      </c>
      <c r="AV57" s="21">
        <f t="shared" si="90"/>
        <v>5</v>
      </c>
      <c r="AW57" s="21">
        <f t="shared" si="90"/>
        <v>5</v>
      </c>
      <c r="AX57" s="21">
        <f t="shared" si="90"/>
        <v>7</v>
      </c>
      <c r="AY57" s="21">
        <f t="shared" si="90"/>
        <v>7</v>
      </c>
      <c r="AZ57" s="21">
        <f t="shared" si="90"/>
        <v>7</v>
      </c>
      <c r="BA57" s="21">
        <f t="shared" si="90"/>
        <v>7</v>
      </c>
      <c r="BB57" s="21">
        <f t="shared" si="91"/>
        <v>7</v>
      </c>
      <c r="BC57" s="22">
        <f t="shared" si="91"/>
        <v>9</v>
      </c>
    </row>
    <row r="58" spans="1:55" x14ac:dyDescent="0.2">
      <c r="D58" s="20">
        <f t="shared" si="50"/>
        <v>56</v>
      </c>
      <c r="E58" s="21">
        <f t="shared" si="61"/>
        <v>0</v>
      </c>
      <c r="F58" s="21">
        <f t="shared" si="62"/>
        <v>0</v>
      </c>
      <c r="G58" s="21">
        <f t="shared" si="63"/>
        <v>0</v>
      </c>
      <c r="H58" s="21">
        <f t="shared" si="64"/>
        <v>0</v>
      </c>
      <c r="I58" s="21">
        <f t="shared" si="65"/>
        <v>0</v>
      </c>
      <c r="J58" s="21">
        <f t="shared" si="66"/>
        <v>0</v>
      </c>
      <c r="K58" s="21">
        <f t="shared" si="67"/>
        <v>0</v>
      </c>
      <c r="L58" s="21">
        <f t="shared" si="68"/>
        <v>0</v>
      </c>
      <c r="M58" s="21">
        <f t="shared" si="69"/>
        <v>0</v>
      </c>
      <c r="N58" s="21">
        <f t="shared" si="70"/>
        <v>0</v>
      </c>
      <c r="O58" s="21">
        <f t="shared" si="71"/>
        <v>0</v>
      </c>
      <c r="P58" s="21">
        <f t="shared" si="72"/>
        <v>0</v>
      </c>
      <c r="Q58" s="21">
        <f t="shared" si="73"/>
        <v>0</v>
      </c>
      <c r="R58" s="21">
        <f t="shared" si="74"/>
        <v>0</v>
      </c>
      <c r="S58" s="21">
        <f t="shared" si="75"/>
        <v>0</v>
      </c>
      <c r="T58" s="21">
        <f t="shared" si="80"/>
        <v>0</v>
      </c>
      <c r="U58" s="21">
        <f t="shared" si="81"/>
        <v>0</v>
      </c>
      <c r="V58" s="21">
        <f t="shared" si="86"/>
        <v>0</v>
      </c>
      <c r="W58" s="21">
        <f t="shared" si="87"/>
        <v>0</v>
      </c>
      <c r="X58" s="21">
        <f t="shared" si="88"/>
        <v>0</v>
      </c>
      <c r="Y58" s="21">
        <f t="shared" si="88"/>
        <v>0</v>
      </c>
      <c r="Z58" s="21">
        <f t="shared" si="88"/>
        <v>1</v>
      </c>
      <c r="AA58" s="21">
        <f t="shared" si="88"/>
        <v>1</v>
      </c>
      <c r="AB58" s="21">
        <f t="shared" si="88"/>
        <v>1</v>
      </c>
      <c r="AC58" s="21">
        <f t="shared" si="88"/>
        <v>1</v>
      </c>
      <c r="AD58" s="21">
        <f t="shared" si="88"/>
        <v>1</v>
      </c>
      <c r="AE58" s="21">
        <f t="shared" si="88"/>
        <v>1</v>
      </c>
      <c r="AF58" s="21">
        <f t="shared" si="88"/>
        <v>1</v>
      </c>
      <c r="AG58" s="21">
        <f t="shared" si="88"/>
        <v>2</v>
      </c>
      <c r="AH58" s="21">
        <f t="shared" si="89"/>
        <v>2</v>
      </c>
      <c r="AI58" s="21">
        <f t="shared" si="89"/>
        <v>2</v>
      </c>
      <c r="AJ58" s="21">
        <f t="shared" si="89"/>
        <v>2</v>
      </c>
      <c r="AK58" s="21">
        <f t="shared" si="89"/>
        <v>2</v>
      </c>
      <c r="AL58" s="21">
        <f t="shared" si="89"/>
        <v>2</v>
      </c>
      <c r="AM58" s="21">
        <f t="shared" si="89"/>
        <v>2</v>
      </c>
      <c r="AN58" s="21">
        <f t="shared" si="89"/>
        <v>3</v>
      </c>
      <c r="AO58" s="21">
        <f t="shared" si="89"/>
        <v>3</v>
      </c>
      <c r="AP58" s="21">
        <f t="shared" si="89"/>
        <v>3</v>
      </c>
      <c r="AQ58" s="21">
        <f t="shared" si="89"/>
        <v>3</v>
      </c>
      <c r="AR58" s="21">
        <f t="shared" si="90"/>
        <v>3</v>
      </c>
      <c r="AS58" s="21">
        <f t="shared" si="90"/>
        <v>5</v>
      </c>
      <c r="AT58" s="21">
        <f t="shared" si="90"/>
        <v>5</v>
      </c>
      <c r="AU58" s="21">
        <f t="shared" si="90"/>
        <v>5</v>
      </c>
      <c r="AV58" s="21">
        <f t="shared" si="90"/>
        <v>5</v>
      </c>
      <c r="AW58" s="21">
        <f t="shared" si="90"/>
        <v>5</v>
      </c>
      <c r="AX58" s="21">
        <f t="shared" si="90"/>
        <v>7</v>
      </c>
      <c r="AY58" s="21">
        <f t="shared" si="90"/>
        <v>7</v>
      </c>
      <c r="AZ58" s="21">
        <f t="shared" si="90"/>
        <v>7</v>
      </c>
      <c r="BA58" s="21">
        <f t="shared" si="90"/>
        <v>7</v>
      </c>
      <c r="BB58" s="21">
        <f t="shared" si="91"/>
        <v>7</v>
      </c>
      <c r="BC58" s="22">
        <f t="shared" si="91"/>
        <v>9</v>
      </c>
    </row>
    <row r="59" spans="1:55" x14ac:dyDescent="0.2">
      <c r="D59" s="20">
        <f t="shared" si="50"/>
        <v>57</v>
      </c>
      <c r="E59" s="21">
        <f t="shared" si="61"/>
        <v>0</v>
      </c>
      <c r="F59" s="21">
        <f t="shared" si="62"/>
        <v>0</v>
      </c>
      <c r="G59" s="21">
        <f t="shared" si="63"/>
        <v>0</v>
      </c>
      <c r="H59" s="21">
        <f t="shared" si="64"/>
        <v>0</v>
      </c>
      <c r="I59" s="21">
        <f t="shared" si="65"/>
        <v>0</v>
      </c>
      <c r="J59" s="21">
        <f t="shared" si="66"/>
        <v>0</v>
      </c>
      <c r="K59" s="21">
        <f t="shared" si="67"/>
        <v>0</v>
      </c>
      <c r="L59" s="21">
        <f t="shared" si="68"/>
        <v>0</v>
      </c>
      <c r="M59" s="21">
        <f t="shared" si="69"/>
        <v>0</v>
      </c>
      <c r="N59" s="21">
        <f t="shared" si="70"/>
        <v>0</v>
      </c>
      <c r="O59" s="21">
        <f t="shared" si="71"/>
        <v>0</v>
      </c>
      <c r="P59" s="21">
        <f t="shared" si="72"/>
        <v>0</v>
      </c>
      <c r="Q59" s="21">
        <f t="shared" si="73"/>
        <v>0</v>
      </c>
      <c r="R59" s="21">
        <f t="shared" si="74"/>
        <v>0</v>
      </c>
      <c r="S59" s="21">
        <f t="shared" si="75"/>
        <v>0</v>
      </c>
      <c r="T59" s="21">
        <f t="shared" si="80"/>
        <v>0</v>
      </c>
      <c r="U59" s="21">
        <f t="shared" si="81"/>
        <v>0</v>
      </c>
      <c r="V59" s="21">
        <f t="shared" si="86"/>
        <v>0</v>
      </c>
      <c r="W59" s="21">
        <f t="shared" si="87"/>
        <v>0</v>
      </c>
      <c r="X59" s="21">
        <f t="shared" ref="X59:X95" si="92">X58</f>
        <v>0</v>
      </c>
      <c r="Y59" s="21">
        <f t="shared" ref="Y59:Y95" si="93">Y58</f>
        <v>0</v>
      </c>
      <c r="Z59" s="21">
        <v>0</v>
      </c>
      <c r="AA59" s="21">
        <v>0</v>
      </c>
      <c r="AB59" s="21">
        <v>1</v>
      </c>
      <c r="AC59" s="21">
        <v>1</v>
      </c>
      <c r="AD59" s="21">
        <v>1</v>
      </c>
      <c r="AE59" s="21">
        <v>1</v>
      </c>
      <c r="AF59" s="21">
        <v>1</v>
      </c>
      <c r="AG59" s="21">
        <v>1</v>
      </c>
      <c r="AH59" s="21">
        <v>1</v>
      </c>
      <c r="AI59" s="21">
        <v>2</v>
      </c>
      <c r="AJ59" s="21">
        <v>2</v>
      </c>
      <c r="AK59" s="21">
        <v>2</v>
      </c>
      <c r="AL59" s="21">
        <v>2</v>
      </c>
      <c r="AM59" s="21">
        <v>2</v>
      </c>
      <c r="AN59" s="21">
        <v>2</v>
      </c>
      <c r="AO59" s="21">
        <v>2</v>
      </c>
      <c r="AP59" s="21">
        <v>3</v>
      </c>
      <c r="AQ59" s="21">
        <v>3</v>
      </c>
      <c r="AR59" s="21">
        <v>3</v>
      </c>
      <c r="AS59" s="21">
        <v>3</v>
      </c>
      <c r="AT59" s="21">
        <v>3</v>
      </c>
      <c r="AU59" s="21">
        <v>5</v>
      </c>
      <c r="AV59" s="21">
        <v>5</v>
      </c>
      <c r="AW59" s="21">
        <v>5</v>
      </c>
      <c r="AX59" s="21">
        <v>5</v>
      </c>
      <c r="AY59" s="21">
        <v>5</v>
      </c>
      <c r="AZ59" s="21">
        <v>7</v>
      </c>
      <c r="BA59" s="21">
        <v>7</v>
      </c>
      <c r="BB59" s="21">
        <v>7</v>
      </c>
      <c r="BC59" s="22">
        <v>7</v>
      </c>
    </row>
    <row r="60" spans="1:55" x14ac:dyDescent="0.2">
      <c r="D60" s="20">
        <f t="shared" si="50"/>
        <v>58</v>
      </c>
      <c r="E60" s="21">
        <f t="shared" si="61"/>
        <v>0</v>
      </c>
      <c r="F60" s="21">
        <f t="shared" si="62"/>
        <v>0</v>
      </c>
      <c r="G60" s="21">
        <f t="shared" si="63"/>
        <v>0</v>
      </c>
      <c r="H60" s="21">
        <f t="shared" si="64"/>
        <v>0</v>
      </c>
      <c r="I60" s="21">
        <f t="shared" si="65"/>
        <v>0</v>
      </c>
      <c r="J60" s="21">
        <f t="shared" si="66"/>
        <v>0</v>
      </c>
      <c r="K60" s="21">
        <f t="shared" si="67"/>
        <v>0</v>
      </c>
      <c r="L60" s="21">
        <f t="shared" si="68"/>
        <v>0</v>
      </c>
      <c r="M60" s="21">
        <f t="shared" si="69"/>
        <v>0</v>
      </c>
      <c r="N60" s="21">
        <f t="shared" si="70"/>
        <v>0</v>
      </c>
      <c r="O60" s="21">
        <f t="shared" si="71"/>
        <v>0</v>
      </c>
      <c r="P60" s="21">
        <f t="shared" si="72"/>
        <v>0</v>
      </c>
      <c r="Q60" s="21">
        <f t="shared" si="73"/>
        <v>0</v>
      </c>
      <c r="R60" s="21">
        <f t="shared" si="74"/>
        <v>0</v>
      </c>
      <c r="S60" s="21">
        <f t="shared" si="75"/>
        <v>0</v>
      </c>
      <c r="T60" s="21">
        <f t="shared" si="80"/>
        <v>0</v>
      </c>
      <c r="U60" s="21">
        <f t="shared" si="81"/>
        <v>0</v>
      </c>
      <c r="V60" s="21">
        <f t="shared" si="86"/>
        <v>0</v>
      </c>
      <c r="W60" s="21">
        <f t="shared" si="87"/>
        <v>0</v>
      </c>
      <c r="X60" s="21">
        <f t="shared" si="92"/>
        <v>0</v>
      </c>
      <c r="Y60" s="21">
        <f t="shared" si="93"/>
        <v>0</v>
      </c>
      <c r="Z60" s="21">
        <f t="shared" ref="Z60:AI63" si="94">Z59</f>
        <v>0</v>
      </c>
      <c r="AA60" s="21">
        <f t="shared" si="94"/>
        <v>0</v>
      </c>
      <c r="AB60" s="21">
        <f t="shared" si="94"/>
        <v>1</v>
      </c>
      <c r="AC60" s="21">
        <f t="shared" si="94"/>
        <v>1</v>
      </c>
      <c r="AD60" s="21">
        <f t="shared" si="94"/>
        <v>1</v>
      </c>
      <c r="AE60" s="21">
        <f t="shared" si="94"/>
        <v>1</v>
      </c>
      <c r="AF60" s="21">
        <f t="shared" si="94"/>
        <v>1</v>
      </c>
      <c r="AG60" s="21">
        <f t="shared" si="94"/>
        <v>1</v>
      </c>
      <c r="AH60" s="21">
        <f t="shared" si="94"/>
        <v>1</v>
      </c>
      <c r="AI60" s="21">
        <f t="shared" si="94"/>
        <v>2</v>
      </c>
      <c r="AJ60" s="21">
        <f t="shared" ref="AJ60:AS63" si="95">AJ59</f>
        <v>2</v>
      </c>
      <c r="AK60" s="21">
        <f t="shared" si="95"/>
        <v>2</v>
      </c>
      <c r="AL60" s="21">
        <f t="shared" si="95"/>
        <v>2</v>
      </c>
      <c r="AM60" s="21">
        <f t="shared" si="95"/>
        <v>2</v>
      </c>
      <c r="AN60" s="21">
        <f t="shared" si="95"/>
        <v>2</v>
      </c>
      <c r="AO60" s="21">
        <f t="shared" si="95"/>
        <v>2</v>
      </c>
      <c r="AP60" s="21">
        <f t="shared" si="95"/>
        <v>3</v>
      </c>
      <c r="AQ60" s="21">
        <f t="shared" si="95"/>
        <v>3</v>
      </c>
      <c r="AR60" s="21">
        <f t="shared" si="95"/>
        <v>3</v>
      </c>
      <c r="AS60" s="21">
        <f t="shared" si="95"/>
        <v>3</v>
      </c>
      <c r="AT60" s="21">
        <f t="shared" ref="AT60:BC63" si="96">AT59</f>
        <v>3</v>
      </c>
      <c r="AU60" s="21">
        <f t="shared" si="96"/>
        <v>5</v>
      </c>
      <c r="AV60" s="21">
        <f t="shared" si="96"/>
        <v>5</v>
      </c>
      <c r="AW60" s="21">
        <f t="shared" si="96"/>
        <v>5</v>
      </c>
      <c r="AX60" s="21">
        <f t="shared" si="96"/>
        <v>5</v>
      </c>
      <c r="AY60" s="21">
        <f t="shared" si="96"/>
        <v>5</v>
      </c>
      <c r="AZ60" s="21">
        <f t="shared" si="96"/>
        <v>7</v>
      </c>
      <c r="BA60" s="21">
        <f t="shared" si="96"/>
        <v>7</v>
      </c>
      <c r="BB60" s="21">
        <f t="shared" si="96"/>
        <v>7</v>
      </c>
      <c r="BC60" s="22">
        <f t="shared" si="96"/>
        <v>7</v>
      </c>
    </row>
    <row r="61" spans="1:55" x14ac:dyDescent="0.2">
      <c r="D61" s="20">
        <f t="shared" si="50"/>
        <v>59</v>
      </c>
      <c r="E61" s="21">
        <f t="shared" si="61"/>
        <v>0</v>
      </c>
      <c r="F61" s="21">
        <f t="shared" si="62"/>
        <v>0</v>
      </c>
      <c r="G61" s="21">
        <f t="shared" si="63"/>
        <v>0</v>
      </c>
      <c r="H61" s="21">
        <f t="shared" si="64"/>
        <v>0</v>
      </c>
      <c r="I61" s="21">
        <f t="shared" si="65"/>
        <v>0</v>
      </c>
      <c r="J61" s="21">
        <f t="shared" si="66"/>
        <v>0</v>
      </c>
      <c r="K61" s="21">
        <f t="shared" si="67"/>
        <v>0</v>
      </c>
      <c r="L61" s="21">
        <f t="shared" si="68"/>
        <v>0</v>
      </c>
      <c r="M61" s="21">
        <f t="shared" si="69"/>
        <v>0</v>
      </c>
      <c r="N61" s="21">
        <f t="shared" si="70"/>
        <v>0</v>
      </c>
      <c r="O61" s="21">
        <f t="shared" si="71"/>
        <v>0</v>
      </c>
      <c r="P61" s="21">
        <f t="shared" si="72"/>
        <v>0</v>
      </c>
      <c r="Q61" s="21">
        <f t="shared" si="73"/>
        <v>0</v>
      </c>
      <c r="R61" s="21">
        <f t="shared" si="74"/>
        <v>0</v>
      </c>
      <c r="S61" s="21">
        <f t="shared" si="75"/>
        <v>0</v>
      </c>
      <c r="T61" s="21">
        <f t="shared" si="80"/>
        <v>0</v>
      </c>
      <c r="U61" s="21">
        <f t="shared" si="81"/>
        <v>0</v>
      </c>
      <c r="V61" s="21">
        <f t="shared" si="86"/>
        <v>0</v>
      </c>
      <c r="W61" s="21">
        <f t="shared" si="87"/>
        <v>0</v>
      </c>
      <c r="X61" s="21">
        <f t="shared" si="92"/>
        <v>0</v>
      </c>
      <c r="Y61" s="21">
        <f t="shared" si="93"/>
        <v>0</v>
      </c>
      <c r="Z61" s="21">
        <f t="shared" si="94"/>
        <v>0</v>
      </c>
      <c r="AA61" s="21">
        <f t="shared" si="94"/>
        <v>0</v>
      </c>
      <c r="AB61" s="21">
        <f t="shared" si="94"/>
        <v>1</v>
      </c>
      <c r="AC61" s="21">
        <f t="shared" si="94"/>
        <v>1</v>
      </c>
      <c r="AD61" s="21">
        <f t="shared" si="94"/>
        <v>1</v>
      </c>
      <c r="AE61" s="21">
        <f t="shared" si="94"/>
        <v>1</v>
      </c>
      <c r="AF61" s="21">
        <f t="shared" si="94"/>
        <v>1</v>
      </c>
      <c r="AG61" s="21">
        <f t="shared" si="94"/>
        <v>1</v>
      </c>
      <c r="AH61" s="21">
        <f t="shared" si="94"/>
        <v>1</v>
      </c>
      <c r="AI61" s="21">
        <f t="shared" si="94"/>
        <v>2</v>
      </c>
      <c r="AJ61" s="21">
        <f t="shared" si="95"/>
        <v>2</v>
      </c>
      <c r="AK61" s="21">
        <f t="shared" si="95"/>
        <v>2</v>
      </c>
      <c r="AL61" s="21">
        <f t="shared" si="95"/>
        <v>2</v>
      </c>
      <c r="AM61" s="21">
        <f t="shared" si="95"/>
        <v>2</v>
      </c>
      <c r="AN61" s="21">
        <f t="shared" si="95"/>
        <v>2</v>
      </c>
      <c r="AO61" s="21">
        <f t="shared" si="95"/>
        <v>2</v>
      </c>
      <c r="AP61" s="21">
        <f t="shared" si="95"/>
        <v>3</v>
      </c>
      <c r="AQ61" s="21">
        <f t="shared" si="95"/>
        <v>3</v>
      </c>
      <c r="AR61" s="21">
        <f t="shared" si="95"/>
        <v>3</v>
      </c>
      <c r="AS61" s="21">
        <f t="shared" si="95"/>
        <v>3</v>
      </c>
      <c r="AT61" s="21">
        <f t="shared" si="96"/>
        <v>3</v>
      </c>
      <c r="AU61" s="21">
        <f t="shared" si="96"/>
        <v>5</v>
      </c>
      <c r="AV61" s="21">
        <f t="shared" si="96"/>
        <v>5</v>
      </c>
      <c r="AW61" s="21">
        <f t="shared" si="96"/>
        <v>5</v>
      </c>
      <c r="AX61" s="21">
        <f t="shared" si="96"/>
        <v>5</v>
      </c>
      <c r="AY61" s="21">
        <f t="shared" si="96"/>
        <v>5</v>
      </c>
      <c r="AZ61" s="21">
        <f t="shared" si="96"/>
        <v>7</v>
      </c>
      <c r="BA61" s="21">
        <f t="shared" si="96"/>
        <v>7</v>
      </c>
      <c r="BB61" s="21">
        <f t="shared" si="96"/>
        <v>7</v>
      </c>
      <c r="BC61" s="22">
        <f t="shared" si="96"/>
        <v>7</v>
      </c>
    </row>
    <row r="62" spans="1:55" x14ac:dyDescent="0.2">
      <c r="D62" s="20">
        <f t="shared" si="50"/>
        <v>60</v>
      </c>
      <c r="E62" s="21">
        <f t="shared" si="61"/>
        <v>0</v>
      </c>
      <c r="F62" s="21">
        <f t="shared" si="62"/>
        <v>0</v>
      </c>
      <c r="G62" s="21">
        <f t="shared" si="63"/>
        <v>0</v>
      </c>
      <c r="H62" s="21">
        <f t="shared" si="64"/>
        <v>0</v>
      </c>
      <c r="I62" s="21">
        <f t="shared" si="65"/>
        <v>0</v>
      </c>
      <c r="J62" s="21">
        <f t="shared" si="66"/>
        <v>0</v>
      </c>
      <c r="K62" s="21">
        <f t="shared" si="67"/>
        <v>0</v>
      </c>
      <c r="L62" s="21">
        <f t="shared" si="68"/>
        <v>0</v>
      </c>
      <c r="M62" s="21">
        <f t="shared" si="69"/>
        <v>0</v>
      </c>
      <c r="N62" s="21">
        <f t="shared" si="70"/>
        <v>0</v>
      </c>
      <c r="O62" s="21">
        <f t="shared" si="71"/>
        <v>0</v>
      </c>
      <c r="P62" s="21">
        <f t="shared" si="72"/>
        <v>0</v>
      </c>
      <c r="Q62" s="21">
        <f t="shared" si="73"/>
        <v>0</v>
      </c>
      <c r="R62" s="21">
        <f t="shared" si="74"/>
        <v>0</v>
      </c>
      <c r="S62" s="21">
        <f t="shared" si="75"/>
        <v>0</v>
      </c>
      <c r="T62" s="21">
        <f t="shared" si="80"/>
        <v>0</v>
      </c>
      <c r="U62" s="21">
        <f t="shared" si="81"/>
        <v>0</v>
      </c>
      <c r="V62" s="21">
        <f t="shared" si="86"/>
        <v>0</v>
      </c>
      <c r="W62" s="21">
        <f t="shared" si="87"/>
        <v>0</v>
      </c>
      <c r="X62" s="21">
        <f t="shared" si="92"/>
        <v>0</v>
      </c>
      <c r="Y62" s="21">
        <f t="shared" si="93"/>
        <v>0</v>
      </c>
      <c r="Z62" s="21">
        <f t="shared" si="94"/>
        <v>0</v>
      </c>
      <c r="AA62" s="21">
        <f t="shared" si="94"/>
        <v>0</v>
      </c>
      <c r="AB62" s="21">
        <f t="shared" si="94"/>
        <v>1</v>
      </c>
      <c r="AC62" s="21">
        <f t="shared" si="94"/>
        <v>1</v>
      </c>
      <c r="AD62" s="21">
        <f t="shared" si="94"/>
        <v>1</v>
      </c>
      <c r="AE62" s="21">
        <f t="shared" si="94"/>
        <v>1</v>
      </c>
      <c r="AF62" s="21">
        <f t="shared" si="94"/>
        <v>1</v>
      </c>
      <c r="AG62" s="21">
        <f t="shared" si="94"/>
        <v>1</v>
      </c>
      <c r="AH62" s="21">
        <f t="shared" si="94"/>
        <v>1</v>
      </c>
      <c r="AI62" s="21">
        <f t="shared" si="94"/>
        <v>2</v>
      </c>
      <c r="AJ62" s="21">
        <f t="shared" si="95"/>
        <v>2</v>
      </c>
      <c r="AK62" s="21">
        <f t="shared" si="95"/>
        <v>2</v>
      </c>
      <c r="AL62" s="21">
        <f t="shared" si="95"/>
        <v>2</v>
      </c>
      <c r="AM62" s="21">
        <f t="shared" si="95"/>
        <v>2</v>
      </c>
      <c r="AN62" s="21">
        <f t="shared" si="95"/>
        <v>2</v>
      </c>
      <c r="AO62" s="21">
        <f t="shared" si="95"/>
        <v>2</v>
      </c>
      <c r="AP62" s="21">
        <f t="shared" si="95"/>
        <v>3</v>
      </c>
      <c r="AQ62" s="21">
        <f t="shared" si="95"/>
        <v>3</v>
      </c>
      <c r="AR62" s="21">
        <f t="shared" si="95"/>
        <v>3</v>
      </c>
      <c r="AS62" s="21">
        <f t="shared" si="95"/>
        <v>3</v>
      </c>
      <c r="AT62" s="21">
        <f t="shared" si="96"/>
        <v>3</v>
      </c>
      <c r="AU62" s="21">
        <f t="shared" si="96"/>
        <v>5</v>
      </c>
      <c r="AV62" s="21">
        <f t="shared" si="96"/>
        <v>5</v>
      </c>
      <c r="AW62" s="21">
        <f t="shared" si="96"/>
        <v>5</v>
      </c>
      <c r="AX62" s="21">
        <f t="shared" si="96"/>
        <v>5</v>
      </c>
      <c r="AY62" s="21">
        <f t="shared" si="96"/>
        <v>5</v>
      </c>
      <c r="AZ62" s="21">
        <f t="shared" si="96"/>
        <v>7</v>
      </c>
      <c r="BA62" s="21">
        <f t="shared" si="96"/>
        <v>7</v>
      </c>
      <c r="BB62" s="21">
        <f t="shared" si="96"/>
        <v>7</v>
      </c>
      <c r="BC62" s="22">
        <f t="shared" si="96"/>
        <v>7</v>
      </c>
    </row>
    <row r="63" spans="1:55" x14ac:dyDescent="0.2">
      <c r="D63" s="20">
        <f t="shared" si="50"/>
        <v>61</v>
      </c>
      <c r="E63" s="21">
        <f t="shared" si="61"/>
        <v>0</v>
      </c>
      <c r="F63" s="21">
        <f t="shared" si="62"/>
        <v>0</v>
      </c>
      <c r="G63" s="21">
        <f t="shared" si="63"/>
        <v>0</v>
      </c>
      <c r="H63" s="21">
        <f t="shared" si="64"/>
        <v>0</v>
      </c>
      <c r="I63" s="21">
        <f t="shared" si="65"/>
        <v>0</v>
      </c>
      <c r="J63" s="21">
        <f t="shared" si="66"/>
        <v>0</v>
      </c>
      <c r="K63" s="21">
        <f t="shared" si="67"/>
        <v>0</v>
      </c>
      <c r="L63" s="21">
        <f t="shared" si="68"/>
        <v>0</v>
      </c>
      <c r="M63" s="21">
        <f t="shared" si="69"/>
        <v>0</v>
      </c>
      <c r="N63" s="21">
        <f t="shared" si="70"/>
        <v>0</v>
      </c>
      <c r="O63" s="21">
        <f t="shared" si="71"/>
        <v>0</v>
      </c>
      <c r="P63" s="21">
        <f t="shared" si="72"/>
        <v>0</v>
      </c>
      <c r="Q63" s="21">
        <f t="shared" si="73"/>
        <v>0</v>
      </c>
      <c r="R63" s="21">
        <f t="shared" si="74"/>
        <v>0</v>
      </c>
      <c r="S63" s="21">
        <f t="shared" si="75"/>
        <v>0</v>
      </c>
      <c r="T63" s="21">
        <f t="shared" si="80"/>
        <v>0</v>
      </c>
      <c r="U63" s="21">
        <f t="shared" si="81"/>
        <v>0</v>
      </c>
      <c r="V63" s="21">
        <f t="shared" si="86"/>
        <v>0</v>
      </c>
      <c r="W63" s="21">
        <f t="shared" si="87"/>
        <v>0</v>
      </c>
      <c r="X63" s="21">
        <f t="shared" si="92"/>
        <v>0</v>
      </c>
      <c r="Y63" s="21">
        <f t="shared" si="93"/>
        <v>0</v>
      </c>
      <c r="Z63" s="21">
        <f t="shared" si="94"/>
        <v>0</v>
      </c>
      <c r="AA63" s="21">
        <f t="shared" si="94"/>
        <v>0</v>
      </c>
      <c r="AB63" s="21">
        <f t="shared" si="94"/>
        <v>1</v>
      </c>
      <c r="AC63" s="21">
        <f t="shared" si="94"/>
        <v>1</v>
      </c>
      <c r="AD63" s="21">
        <f t="shared" si="94"/>
        <v>1</v>
      </c>
      <c r="AE63" s="21">
        <f t="shared" si="94"/>
        <v>1</v>
      </c>
      <c r="AF63" s="21">
        <f t="shared" si="94"/>
        <v>1</v>
      </c>
      <c r="AG63" s="21">
        <f t="shared" si="94"/>
        <v>1</v>
      </c>
      <c r="AH63" s="21">
        <f t="shared" si="94"/>
        <v>1</v>
      </c>
      <c r="AI63" s="21">
        <f t="shared" si="94"/>
        <v>2</v>
      </c>
      <c r="AJ63" s="21">
        <f t="shared" si="95"/>
        <v>2</v>
      </c>
      <c r="AK63" s="21">
        <f t="shared" si="95"/>
        <v>2</v>
      </c>
      <c r="AL63" s="21">
        <f t="shared" si="95"/>
        <v>2</v>
      </c>
      <c r="AM63" s="21">
        <f t="shared" si="95"/>
        <v>2</v>
      </c>
      <c r="AN63" s="21">
        <f t="shared" si="95"/>
        <v>2</v>
      </c>
      <c r="AO63" s="21">
        <f t="shared" si="95"/>
        <v>2</v>
      </c>
      <c r="AP63" s="21">
        <f t="shared" si="95"/>
        <v>3</v>
      </c>
      <c r="AQ63" s="21">
        <f t="shared" si="95"/>
        <v>3</v>
      </c>
      <c r="AR63" s="21">
        <f t="shared" si="95"/>
        <v>3</v>
      </c>
      <c r="AS63" s="21">
        <f t="shared" si="95"/>
        <v>3</v>
      </c>
      <c r="AT63" s="21">
        <f t="shared" si="96"/>
        <v>3</v>
      </c>
      <c r="AU63" s="21">
        <f t="shared" si="96"/>
        <v>5</v>
      </c>
      <c r="AV63" s="21">
        <f t="shared" si="96"/>
        <v>5</v>
      </c>
      <c r="AW63" s="21">
        <f t="shared" si="96"/>
        <v>5</v>
      </c>
      <c r="AX63" s="21">
        <f t="shared" si="96"/>
        <v>5</v>
      </c>
      <c r="AY63" s="21">
        <f t="shared" si="96"/>
        <v>5</v>
      </c>
      <c r="AZ63" s="21">
        <f t="shared" si="96"/>
        <v>7</v>
      </c>
      <c r="BA63" s="21">
        <f t="shared" si="96"/>
        <v>7</v>
      </c>
      <c r="BB63" s="21">
        <f t="shared" si="96"/>
        <v>7</v>
      </c>
      <c r="BC63" s="22">
        <f t="shared" si="96"/>
        <v>7</v>
      </c>
    </row>
    <row r="64" spans="1:55" x14ac:dyDescent="0.2">
      <c r="D64" s="20">
        <f t="shared" si="50"/>
        <v>62</v>
      </c>
      <c r="E64" s="21">
        <f t="shared" si="61"/>
        <v>0</v>
      </c>
      <c r="F64" s="21">
        <f t="shared" si="62"/>
        <v>0</v>
      </c>
      <c r="G64" s="21">
        <f t="shared" si="63"/>
        <v>0</v>
      </c>
      <c r="H64" s="21">
        <f t="shared" si="64"/>
        <v>0</v>
      </c>
      <c r="I64" s="21">
        <f t="shared" si="65"/>
        <v>0</v>
      </c>
      <c r="J64" s="21">
        <f t="shared" si="66"/>
        <v>0</v>
      </c>
      <c r="K64" s="21">
        <f t="shared" si="67"/>
        <v>0</v>
      </c>
      <c r="L64" s="21">
        <f t="shared" si="68"/>
        <v>0</v>
      </c>
      <c r="M64" s="21">
        <f t="shared" si="69"/>
        <v>0</v>
      </c>
      <c r="N64" s="21">
        <f t="shared" si="70"/>
        <v>0</v>
      </c>
      <c r="O64" s="21">
        <f t="shared" si="71"/>
        <v>0</v>
      </c>
      <c r="P64" s="21">
        <f t="shared" si="72"/>
        <v>0</v>
      </c>
      <c r="Q64" s="21">
        <f t="shared" si="73"/>
        <v>0</v>
      </c>
      <c r="R64" s="21">
        <f t="shared" si="74"/>
        <v>0</v>
      </c>
      <c r="S64" s="21">
        <f t="shared" si="75"/>
        <v>0</v>
      </c>
      <c r="T64" s="21">
        <f t="shared" si="80"/>
        <v>0</v>
      </c>
      <c r="U64" s="21">
        <f t="shared" si="81"/>
        <v>0</v>
      </c>
      <c r="V64" s="21">
        <f t="shared" si="86"/>
        <v>0</v>
      </c>
      <c r="W64" s="21">
        <f t="shared" si="87"/>
        <v>0</v>
      </c>
      <c r="X64" s="21">
        <f t="shared" si="92"/>
        <v>0</v>
      </c>
      <c r="Y64" s="21">
        <f t="shared" si="93"/>
        <v>0</v>
      </c>
      <c r="Z64" s="21">
        <f t="shared" ref="Z64:AA79" si="97">Z63</f>
        <v>0</v>
      </c>
      <c r="AA64" s="21">
        <f t="shared" si="97"/>
        <v>0</v>
      </c>
      <c r="AB64" s="21">
        <v>0</v>
      </c>
      <c r="AC64" s="21">
        <v>0</v>
      </c>
      <c r="AD64" s="21">
        <v>1</v>
      </c>
      <c r="AE64" s="21">
        <v>1</v>
      </c>
      <c r="AF64" s="21">
        <v>1</v>
      </c>
      <c r="AG64" s="21">
        <v>1</v>
      </c>
      <c r="AH64" s="21">
        <v>1</v>
      </c>
      <c r="AI64" s="21">
        <v>1</v>
      </c>
      <c r="AJ64" s="21">
        <v>1</v>
      </c>
      <c r="AK64" s="21">
        <v>2</v>
      </c>
      <c r="AL64" s="21">
        <v>2</v>
      </c>
      <c r="AM64" s="21">
        <v>2</v>
      </c>
      <c r="AN64" s="21">
        <v>2</v>
      </c>
      <c r="AO64" s="21">
        <v>2</v>
      </c>
      <c r="AP64" s="21">
        <v>2</v>
      </c>
      <c r="AQ64" s="21">
        <v>2</v>
      </c>
      <c r="AR64" s="21">
        <v>3</v>
      </c>
      <c r="AS64" s="21">
        <v>3</v>
      </c>
      <c r="AT64" s="21">
        <v>3</v>
      </c>
      <c r="AU64" s="21">
        <v>3</v>
      </c>
      <c r="AV64" s="21">
        <v>3</v>
      </c>
      <c r="AW64" s="21">
        <v>5</v>
      </c>
      <c r="AX64" s="21">
        <v>5</v>
      </c>
      <c r="AY64" s="21">
        <v>5</v>
      </c>
      <c r="AZ64" s="21">
        <v>5</v>
      </c>
      <c r="BA64" s="21">
        <v>5</v>
      </c>
      <c r="BB64" s="21">
        <v>7</v>
      </c>
      <c r="BC64" s="22">
        <v>7</v>
      </c>
    </row>
    <row r="65" spans="4:55" x14ac:dyDescent="0.2">
      <c r="D65" s="20">
        <f t="shared" si="50"/>
        <v>63</v>
      </c>
      <c r="E65" s="21">
        <f t="shared" si="61"/>
        <v>0</v>
      </c>
      <c r="F65" s="21">
        <f t="shared" si="62"/>
        <v>0</v>
      </c>
      <c r="G65" s="21">
        <f t="shared" si="63"/>
        <v>0</v>
      </c>
      <c r="H65" s="21">
        <f t="shared" si="64"/>
        <v>0</v>
      </c>
      <c r="I65" s="21">
        <f t="shared" si="65"/>
        <v>0</v>
      </c>
      <c r="J65" s="21">
        <f t="shared" si="66"/>
        <v>0</v>
      </c>
      <c r="K65" s="21">
        <f t="shared" si="67"/>
        <v>0</v>
      </c>
      <c r="L65" s="21">
        <f t="shared" si="68"/>
        <v>0</v>
      </c>
      <c r="M65" s="21">
        <f t="shared" si="69"/>
        <v>0</v>
      </c>
      <c r="N65" s="21">
        <f t="shared" si="70"/>
        <v>0</v>
      </c>
      <c r="O65" s="21">
        <f t="shared" si="71"/>
        <v>0</v>
      </c>
      <c r="P65" s="21">
        <f t="shared" si="72"/>
        <v>0</v>
      </c>
      <c r="Q65" s="21">
        <f t="shared" si="73"/>
        <v>0</v>
      </c>
      <c r="R65" s="21">
        <f t="shared" si="74"/>
        <v>0</v>
      </c>
      <c r="S65" s="21">
        <f t="shared" si="75"/>
        <v>0</v>
      </c>
      <c r="T65" s="21">
        <f t="shared" si="80"/>
        <v>0</v>
      </c>
      <c r="U65" s="21">
        <f t="shared" si="81"/>
        <v>0</v>
      </c>
      <c r="V65" s="21">
        <f t="shared" si="86"/>
        <v>0</v>
      </c>
      <c r="W65" s="21">
        <f t="shared" si="87"/>
        <v>0</v>
      </c>
      <c r="X65" s="21">
        <f t="shared" si="92"/>
        <v>0</v>
      </c>
      <c r="Y65" s="21">
        <f t="shared" si="93"/>
        <v>0</v>
      </c>
      <c r="Z65" s="21">
        <f t="shared" si="97"/>
        <v>0</v>
      </c>
      <c r="AA65" s="21">
        <f t="shared" si="97"/>
        <v>0</v>
      </c>
      <c r="AB65" s="21">
        <f t="shared" ref="AB65:AK80" si="98">AB64</f>
        <v>0</v>
      </c>
      <c r="AC65" s="21">
        <f t="shared" si="98"/>
        <v>0</v>
      </c>
      <c r="AD65" s="21">
        <f t="shared" si="98"/>
        <v>1</v>
      </c>
      <c r="AE65" s="21">
        <f t="shared" si="98"/>
        <v>1</v>
      </c>
      <c r="AF65" s="21">
        <f t="shared" si="98"/>
        <v>1</v>
      </c>
      <c r="AG65" s="21">
        <f t="shared" si="98"/>
        <v>1</v>
      </c>
      <c r="AH65" s="21">
        <f t="shared" si="98"/>
        <v>1</v>
      </c>
      <c r="AI65" s="21">
        <f t="shared" si="98"/>
        <v>1</v>
      </c>
      <c r="AJ65" s="21">
        <f t="shared" si="98"/>
        <v>1</v>
      </c>
      <c r="AK65" s="21">
        <f t="shared" si="98"/>
        <v>2</v>
      </c>
      <c r="AL65" s="21">
        <f t="shared" ref="AL65:AU80" si="99">AL64</f>
        <v>2</v>
      </c>
      <c r="AM65" s="21">
        <f t="shared" si="99"/>
        <v>2</v>
      </c>
      <c r="AN65" s="21">
        <f t="shared" si="99"/>
        <v>2</v>
      </c>
      <c r="AO65" s="21">
        <f t="shared" si="99"/>
        <v>2</v>
      </c>
      <c r="AP65" s="21">
        <f t="shared" si="99"/>
        <v>2</v>
      </c>
      <c r="AQ65" s="21">
        <f t="shared" si="99"/>
        <v>2</v>
      </c>
      <c r="AR65" s="21">
        <f t="shared" si="99"/>
        <v>3</v>
      </c>
      <c r="AS65" s="21">
        <f t="shared" si="99"/>
        <v>3</v>
      </c>
      <c r="AT65" s="21">
        <f t="shared" si="99"/>
        <v>3</v>
      </c>
      <c r="AU65" s="21">
        <f t="shared" si="99"/>
        <v>3</v>
      </c>
      <c r="AV65" s="21">
        <f t="shared" ref="AV65:BC80" si="100">AV64</f>
        <v>3</v>
      </c>
      <c r="AW65" s="21">
        <f t="shared" si="100"/>
        <v>5</v>
      </c>
      <c r="AX65" s="21">
        <f t="shared" si="100"/>
        <v>5</v>
      </c>
      <c r="AY65" s="21">
        <f t="shared" si="100"/>
        <v>5</v>
      </c>
      <c r="AZ65" s="21">
        <f t="shared" si="100"/>
        <v>5</v>
      </c>
      <c r="BA65" s="21">
        <f t="shared" si="100"/>
        <v>5</v>
      </c>
      <c r="BB65" s="21">
        <f t="shared" si="100"/>
        <v>7</v>
      </c>
      <c r="BC65" s="22">
        <f t="shared" si="100"/>
        <v>7</v>
      </c>
    </row>
    <row r="66" spans="4:55" x14ac:dyDescent="0.2">
      <c r="D66" s="20">
        <f t="shared" si="50"/>
        <v>64</v>
      </c>
      <c r="E66" s="21">
        <f t="shared" si="61"/>
        <v>0</v>
      </c>
      <c r="F66" s="21">
        <f t="shared" si="62"/>
        <v>0</v>
      </c>
      <c r="G66" s="21">
        <f t="shared" si="63"/>
        <v>0</v>
      </c>
      <c r="H66" s="21">
        <f t="shared" si="64"/>
        <v>0</v>
      </c>
      <c r="I66" s="21">
        <f t="shared" si="65"/>
        <v>0</v>
      </c>
      <c r="J66" s="21">
        <f t="shared" si="66"/>
        <v>0</v>
      </c>
      <c r="K66" s="21">
        <f t="shared" si="67"/>
        <v>0</v>
      </c>
      <c r="L66" s="21">
        <f t="shared" si="68"/>
        <v>0</v>
      </c>
      <c r="M66" s="21">
        <f t="shared" si="69"/>
        <v>0</v>
      </c>
      <c r="N66" s="21">
        <f t="shared" si="70"/>
        <v>0</v>
      </c>
      <c r="O66" s="21">
        <f t="shared" si="71"/>
        <v>0</v>
      </c>
      <c r="P66" s="21">
        <f t="shared" si="72"/>
        <v>0</v>
      </c>
      <c r="Q66" s="21">
        <f t="shared" si="73"/>
        <v>0</v>
      </c>
      <c r="R66" s="21">
        <f t="shared" si="74"/>
        <v>0</v>
      </c>
      <c r="S66" s="21">
        <f t="shared" si="75"/>
        <v>0</v>
      </c>
      <c r="T66" s="21">
        <f t="shared" si="80"/>
        <v>0</v>
      </c>
      <c r="U66" s="21">
        <f t="shared" si="81"/>
        <v>0</v>
      </c>
      <c r="V66" s="21">
        <f t="shared" si="86"/>
        <v>0</v>
      </c>
      <c r="W66" s="21">
        <f t="shared" si="87"/>
        <v>0</v>
      </c>
      <c r="X66" s="21">
        <f t="shared" si="92"/>
        <v>0</v>
      </c>
      <c r="Y66" s="21">
        <f t="shared" si="93"/>
        <v>0</v>
      </c>
      <c r="Z66" s="21">
        <f t="shared" si="97"/>
        <v>0</v>
      </c>
      <c r="AA66" s="21">
        <f t="shared" si="97"/>
        <v>0</v>
      </c>
      <c r="AB66" s="21">
        <f t="shared" si="98"/>
        <v>0</v>
      </c>
      <c r="AC66" s="21">
        <f t="shared" si="98"/>
        <v>0</v>
      </c>
      <c r="AD66" s="21">
        <f t="shared" si="98"/>
        <v>1</v>
      </c>
      <c r="AE66" s="21">
        <f t="shared" si="98"/>
        <v>1</v>
      </c>
      <c r="AF66" s="21">
        <f t="shared" si="98"/>
        <v>1</v>
      </c>
      <c r="AG66" s="21">
        <f t="shared" si="98"/>
        <v>1</v>
      </c>
      <c r="AH66" s="21">
        <f t="shared" si="98"/>
        <v>1</v>
      </c>
      <c r="AI66" s="21">
        <f t="shared" si="98"/>
        <v>1</v>
      </c>
      <c r="AJ66" s="21">
        <f t="shared" si="98"/>
        <v>1</v>
      </c>
      <c r="AK66" s="21">
        <f t="shared" si="98"/>
        <v>2</v>
      </c>
      <c r="AL66" s="21">
        <f t="shared" si="99"/>
        <v>2</v>
      </c>
      <c r="AM66" s="21">
        <f t="shared" si="99"/>
        <v>2</v>
      </c>
      <c r="AN66" s="21">
        <f t="shared" si="99"/>
        <v>2</v>
      </c>
      <c r="AO66" s="21">
        <f t="shared" si="99"/>
        <v>2</v>
      </c>
      <c r="AP66" s="21">
        <f t="shared" si="99"/>
        <v>2</v>
      </c>
      <c r="AQ66" s="21">
        <f t="shared" si="99"/>
        <v>2</v>
      </c>
      <c r="AR66" s="21">
        <f t="shared" si="99"/>
        <v>3</v>
      </c>
      <c r="AS66" s="21">
        <f t="shared" si="99"/>
        <v>3</v>
      </c>
      <c r="AT66" s="21">
        <f t="shared" si="99"/>
        <v>3</v>
      </c>
      <c r="AU66" s="21">
        <f t="shared" si="99"/>
        <v>3</v>
      </c>
      <c r="AV66" s="21">
        <f t="shared" si="100"/>
        <v>3</v>
      </c>
      <c r="AW66" s="21">
        <f t="shared" si="100"/>
        <v>5</v>
      </c>
      <c r="AX66" s="21">
        <f t="shared" si="100"/>
        <v>5</v>
      </c>
      <c r="AY66" s="21">
        <f t="shared" si="100"/>
        <v>5</v>
      </c>
      <c r="AZ66" s="21">
        <f t="shared" si="100"/>
        <v>5</v>
      </c>
      <c r="BA66" s="21">
        <f t="shared" si="100"/>
        <v>5</v>
      </c>
      <c r="BB66" s="21">
        <f t="shared" si="100"/>
        <v>7</v>
      </c>
      <c r="BC66" s="22">
        <f t="shared" si="100"/>
        <v>7</v>
      </c>
    </row>
    <row r="67" spans="4:55" x14ac:dyDescent="0.2">
      <c r="D67" s="20">
        <f t="shared" si="50"/>
        <v>65</v>
      </c>
      <c r="E67" s="21">
        <f t="shared" si="61"/>
        <v>0</v>
      </c>
      <c r="F67" s="21">
        <f t="shared" si="62"/>
        <v>0</v>
      </c>
      <c r="G67" s="21">
        <f t="shared" si="63"/>
        <v>0</v>
      </c>
      <c r="H67" s="21">
        <f t="shared" si="64"/>
        <v>0</v>
      </c>
      <c r="I67" s="21">
        <f t="shared" si="65"/>
        <v>0</v>
      </c>
      <c r="J67" s="21">
        <f t="shared" si="66"/>
        <v>0</v>
      </c>
      <c r="K67" s="21">
        <f t="shared" si="67"/>
        <v>0</v>
      </c>
      <c r="L67" s="21">
        <f t="shared" si="68"/>
        <v>0</v>
      </c>
      <c r="M67" s="21">
        <f t="shared" si="69"/>
        <v>0</v>
      </c>
      <c r="N67" s="21">
        <f t="shared" si="70"/>
        <v>0</v>
      </c>
      <c r="O67" s="21">
        <f t="shared" si="71"/>
        <v>0</v>
      </c>
      <c r="P67" s="21">
        <f t="shared" si="72"/>
        <v>0</v>
      </c>
      <c r="Q67" s="21">
        <f t="shared" si="73"/>
        <v>0</v>
      </c>
      <c r="R67" s="21">
        <f t="shared" si="74"/>
        <v>0</v>
      </c>
      <c r="S67" s="21">
        <f t="shared" si="75"/>
        <v>0</v>
      </c>
      <c r="T67" s="21">
        <f t="shared" si="80"/>
        <v>0</v>
      </c>
      <c r="U67" s="21">
        <f t="shared" si="81"/>
        <v>0</v>
      </c>
      <c r="V67" s="21">
        <f t="shared" si="86"/>
        <v>0</v>
      </c>
      <c r="W67" s="21">
        <f t="shared" si="87"/>
        <v>0</v>
      </c>
      <c r="X67" s="21">
        <f t="shared" si="92"/>
        <v>0</v>
      </c>
      <c r="Y67" s="21">
        <f t="shared" si="93"/>
        <v>0</v>
      </c>
      <c r="Z67" s="21">
        <f t="shared" si="97"/>
        <v>0</v>
      </c>
      <c r="AA67" s="21">
        <f t="shared" si="97"/>
        <v>0</v>
      </c>
      <c r="AB67" s="21">
        <f t="shared" si="98"/>
        <v>0</v>
      </c>
      <c r="AC67" s="21">
        <f t="shared" si="98"/>
        <v>0</v>
      </c>
      <c r="AD67" s="21">
        <f t="shared" si="98"/>
        <v>1</v>
      </c>
      <c r="AE67" s="21">
        <f t="shared" si="98"/>
        <v>1</v>
      </c>
      <c r="AF67" s="21">
        <f t="shared" si="98"/>
        <v>1</v>
      </c>
      <c r="AG67" s="21">
        <f t="shared" si="98"/>
        <v>1</v>
      </c>
      <c r="AH67" s="21">
        <f t="shared" si="98"/>
        <v>1</v>
      </c>
      <c r="AI67" s="21">
        <f t="shared" si="98"/>
        <v>1</v>
      </c>
      <c r="AJ67" s="21">
        <f t="shared" si="98"/>
        <v>1</v>
      </c>
      <c r="AK67" s="21">
        <f t="shared" si="98"/>
        <v>2</v>
      </c>
      <c r="AL67" s="21">
        <f t="shared" si="99"/>
        <v>2</v>
      </c>
      <c r="AM67" s="21">
        <f t="shared" si="99"/>
        <v>2</v>
      </c>
      <c r="AN67" s="21">
        <f t="shared" si="99"/>
        <v>2</v>
      </c>
      <c r="AO67" s="21">
        <f t="shared" si="99"/>
        <v>2</v>
      </c>
      <c r="AP67" s="21">
        <f t="shared" si="99"/>
        <v>2</v>
      </c>
      <c r="AQ67" s="21">
        <f t="shared" si="99"/>
        <v>2</v>
      </c>
      <c r="AR67" s="21">
        <f t="shared" si="99"/>
        <v>3</v>
      </c>
      <c r="AS67" s="21">
        <f t="shared" si="99"/>
        <v>3</v>
      </c>
      <c r="AT67" s="21">
        <f t="shared" si="99"/>
        <v>3</v>
      </c>
      <c r="AU67" s="21">
        <f t="shared" si="99"/>
        <v>3</v>
      </c>
      <c r="AV67" s="21">
        <f t="shared" si="100"/>
        <v>3</v>
      </c>
      <c r="AW67" s="21">
        <f t="shared" si="100"/>
        <v>5</v>
      </c>
      <c r="AX67" s="21">
        <f t="shared" si="100"/>
        <v>5</v>
      </c>
      <c r="AY67" s="21">
        <f t="shared" si="100"/>
        <v>5</v>
      </c>
      <c r="AZ67" s="21">
        <f t="shared" si="100"/>
        <v>5</v>
      </c>
      <c r="BA67" s="21">
        <f t="shared" si="100"/>
        <v>5</v>
      </c>
      <c r="BB67" s="21">
        <f t="shared" si="100"/>
        <v>7</v>
      </c>
      <c r="BC67" s="22">
        <f t="shared" si="100"/>
        <v>7</v>
      </c>
    </row>
    <row r="68" spans="4:55" x14ac:dyDescent="0.2">
      <c r="D68" s="265">
        <f t="shared" si="50"/>
        <v>66</v>
      </c>
      <c r="E68" s="266">
        <f t="shared" si="61"/>
        <v>0</v>
      </c>
      <c r="F68" s="266">
        <f t="shared" si="62"/>
        <v>0</v>
      </c>
      <c r="G68" s="266">
        <f t="shared" si="63"/>
        <v>0</v>
      </c>
      <c r="H68" s="266">
        <f t="shared" si="64"/>
        <v>0</v>
      </c>
      <c r="I68" s="266">
        <f t="shared" si="65"/>
        <v>0</v>
      </c>
      <c r="J68" s="266">
        <f t="shared" si="66"/>
        <v>0</v>
      </c>
      <c r="K68" s="266">
        <f t="shared" si="67"/>
        <v>0</v>
      </c>
      <c r="L68" s="266">
        <f t="shared" si="68"/>
        <v>0</v>
      </c>
      <c r="M68" s="266">
        <f t="shared" si="69"/>
        <v>0</v>
      </c>
      <c r="N68" s="266">
        <f t="shared" si="70"/>
        <v>0</v>
      </c>
      <c r="O68" s="266">
        <f t="shared" si="71"/>
        <v>0</v>
      </c>
      <c r="P68" s="266">
        <f t="shared" si="72"/>
        <v>0</v>
      </c>
      <c r="Q68" s="266">
        <f t="shared" si="73"/>
        <v>0</v>
      </c>
      <c r="R68" s="266">
        <f t="shared" si="74"/>
        <v>0</v>
      </c>
      <c r="S68" s="266">
        <f t="shared" si="75"/>
        <v>0</v>
      </c>
      <c r="T68" s="266">
        <f t="shared" si="80"/>
        <v>0</v>
      </c>
      <c r="U68" s="266">
        <f t="shared" si="81"/>
        <v>0</v>
      </c>
      <c r="V68" s="266">
        <f t="shared" si="86"/>
        <v>0</v>
      </c>
      <c r="W68" s="266">
        <f t="shared" si="87"/>
        <v>0</v>
      </c>
      <c r="X68" s="266">
        <f t="shared" si="92"/>
        <v>0</v>
      </c>
      <c r="Y68" s="266">
        <f t="shared" si="93"/>
        <v>0</v>
      </c>
      <c r="Z68" s="266">
        <f t="shared" si="97"/>
        <v>0</v>
      </c>
      <c r="AA68" s="266">
        <f t="shared" si="97"/>
        <v>0</v>
      </c>
      <c r="AB68" s="266">
        <f t="shared" si="98"/>
        <v>0</v>
      </c>
      <c r="AC68" s="266">
        <f t="shared" si="98"/>
        <v>0</v>
      </c>
      <c r="AD68" s="266">
        <f t="shared" si="98"/>
        <v>1</v>
      </c>
      <c r="AE68" s="266">
        <f t="shared" si="98"/>
        <v>1</v>
      </c>
      <c r="AF68" s="266">
        <f t="shared" si="98"/>
        <v>1</v>
      </c>
      <c r="AG68" s="266">
        <f t="shared" si="98"/>
        <v>1</v>
      </c>
      <c r="AH68" s="266">
        <f t="shared" si="98"/>
        <v>1</v>
      </c>
      <c r="AI68" s="266">
        <f t="shared" si="98"/>
        <v>1</v>
      </c>
      <c r="AJ68" s="266">
        <f t="shared" si="98"/>
        <v>1</v>
      </c>
      <c r="AK68" s="266">
        <f t="shared" si="98"/>
        <v>2</v>
      </c>
      <c r="AL68" s="266">
        <f t="shared" si="99"/>
        <v>2</v>
      </c>
      <c r="AM68" s="266">
        <f t="shared" si="99"/>
        <v>2</v>
      </c>
      <c r="AN68" s="266">
        <f t="shared" si="99"/>
        <v>2</v>
      </c>
      <c r="AO68" s="266">
        <f t="shared" si="99"/>
        <v>2</v>
      </c>
      <c r="AP68" s="266">
        <f t="shared" si="99"/>
        <v>2</v>
      </c>
      <c r="AQ68" s="266">
        <f t="shared" si="99"/>
        <v>2</v>
      </c>
      <c r="AR68" s="266">
        <f t="shared" si="99"/>
        <v>3</v>
      </c>
      <c r="AS68" s="266">
        <f t="shared" si="99"/>
        <v>3</v>
      </c>
      <c r="AT68" s="266">
        <f t="shared" si="99"/>
        <v>3</v>
      </c>
      <c r="AU68" s="266">
        <f t="shared" si="99"/>
        <v>3</v>
      </c>
      <c r="AV68" s="266">
        <f t="shared" si="100"/>
        <v>3</v>
      </c>
      <c r="AW68" s="266">
        <f t="shared" si="100"/>
        <v>5</v>
      </c>
      <c r="AX68" s="266">
        <f t="shared" si="100"/>
        <v>5</v>
      </c>
      <c r="AY68" s="266">
        <f t="shared" si="100"/>
        <v>5</v>
      </c>
      <c r="AZ68" s="266">
        <f t="shared" si="100"/>
        <v>5</v>
      </c>
      <c r="BA68" s="266">
        <f t="shared" si="100"/>
        <v>5</v>
      </c>
      <c r="BB68" s="266">
        <f t="shared" si="100"/>
        <v>7</v>
      </c>
      <c r="BC68" s="267">
        <f t="shared" si="100"/>
        <v>7</v>
      </c>
    </row>
    <row r="69" spans="4:55" x14ac:dyDescent="0.2">
      <c r="D69" s="265">
        <f t="shared" si="50"/>
        <v>67</v>
      </c>
      <c r="E69" s="266">
        <f t="shared" si="61"/>
        <v>0</v>
      </c>
      <c r="F69" s="266">
        <f t="shared" si="62"/>
        <v>0</v>
      </c>
      <c r="G69" s="266">
        <f t="shared" si="63"/>
        <v>0</v>
      </c>
      <c r="H69" s="266">
        <f t="shared" si="64"/>
        <v>0</v>
      </c>
      <c r="I69" s="266">
        <f t="shared" si="65"/>
        <v>0</v>
      </c>
      <c r="J69" s="266">
        <f t="shared" si="66"/>
        <v>0</v>
      </c>
      <c r="K69" s="266">
        <f t="shared" si="67"/>
        <v>0</v>
      </c>
      <c r="L69" s="266">
        <f t="shared" si="68"/>
        <v>0</v>
      </c>
      <c r="M69" s="266">
        <f t="shared" si="69"/>
        <v>0</v>
      </c>
      <c r="N69" s="266">
        <f t="shared" si="70"/>
        <v>0</v>
      </c>
      <c r="O69" s="266">
        <f t="shared" si="71"/>
        <v>0</v>
      </c>
      <c r="P69" s="266">
        <f t="shared" si="72"/>
        <v>0</v>
      </c>
      <c r="Q69" s="266">
        <f t="shared" si="73"/>
        <v>0</v>
      </c>
      <c r="R69" s="266">
        <f t="shared" si="74"/>
        <v>0</v>
      </c>
      <c r="S69" s="266">
        <f t="shared" si="75"/>
        <v>0</v>
      </c>
      <c r="T69" s="266">
        <f t="shared" si="80"/>
        <v>0</v>
      </c>
      <c r="U69" s="266">
        <f t="shared" si="81"/>
        <v>0</v>
      </c>
      <c r="V69" s="266">
        <f t="shared" si="86"/>
        <v>0</v>
      </c>
      <c r="W69" s="266">
        <f t="shared" si="87"/>
        <v>0</v>
      </c>
      <c r="X69" s="266">
        <f t="shared" si="92"/>
        <v>0</v>
      </c>
      <c r="Y69" s="266">
        <f t="shared" si="93"/>
        <v>0</v>
      </c>
      <c r="Z69" s="266">
        <f t="shared" si="97"/>
        <v>0</v>
      </c>
      <c r="AA69" s="266">
        <f t="shared" si="97"/>
        <v>0</v>
      </c>
      <c r="AB69" s="266">
        <f t="shared" si="98"/>
        <v>0</v>
      </c>
      <c r="AC69" s="266">
        <f t="shared" si="98"/>
        <v>0</v>
      </c>
      <c r="AD69" s="21">
        <v>0</v>
      </c>
      <c r="AE69" s="21">
        <v>0</v>
      </c>
      <c r="AF69" s="21">
        <v>1</v>
      </c>
      <c r="AG69" s="21">
        <v>1</v>
      </c>
      <c r="AH69" s="21">
        <v>1</v>
      </c>
      <c r="AI69" s="21">
        <v>1</v>
      </c>
      <c r="AJ69" s="21">
        <v>1</v>
      </c>
      <c r="AK69" s="21">
        <v>1</v>
      </c>
      <c r="AL69" s="21">
        <v>1</v>
      </c>
      <c r="AM69" s="21">
        <v>2</v>
      </c>
      <c r="AN69" s="21">
        <v>2</v>
      </c>
      <c r="AO69" s="21">
        <v>2</v>
      </c>
      <c r="AP69" s="21">
        <v>2</v>
      </c>
      <c r="AQ69" s="21">
        <v>2</v>
      </c>
      <c r="AR69" s="21">
        <v>2</v>
      </c>
      <c r="AS69" s="21">
        <v>2</v>
      </c>
      <c r="AT69" s="21">
        <v>3</v>
      </c>
      <c r="AU69" s="21">
        <v>3</v>
      </c>
      <c r="AV69" s="21">
        <v>3</v>
      </c>
      <c r="AW69" s="21">
        <v>3</v>
      </c>
      <c r="AX69" s="21">
        <v>3</v>
      </c>
      <c r="AY69" s="21">
        <v>5</v>
      </c>
      <c r="AZ69" s="21">
        <v>5</v>
      </c>
      <c r="BA69" s="21">
        <v>5</v>
      </c>
      <c r="BB69" s="21">
        <v>5</v>
      </c>
      <c r="BC69" s="268">
        <v>5</v>
      </c>
    </row>
    <row r="70" spans="4:55" x14ac:dyDescent="0.2">
      <c r="D70" s="265">
        <f t="shared" si="50"/>
        <v>68</v>
      </c>
      <c r="E70" s="266">
        <f t="shared" si="61"/>
        <v>0</v>
      </c>
      <c r="F70" s="266">
        <f t="shared" si="62"/>
        <v>0</v>
      </c>
      <c r="G70" s="266">
        <f t="shared" si="63"/>
        <v>0</v>
      </c>
      <c r="H70" s="266">
        <f t="shared" si="64"/>
        <v>0</v>
      </c>
      <c r="I70" s="266">
        <f t="shared" si="65"/>
        <v>0</v>
      </c>
      <c r="J70" s="266">
        <f t="shared" si="66"/>
        <v>0</v>
      </c>
      <c r="K70" s="266">
        <f t="shared" si="67"/>
        <v>0</v>
      </c>
      <c r="L70" s="266">
        <f t="shared" si="68"/>
        <v>0</v>
      </c>
      <c r="M70" s="266">
        <f t="shared" si="69"/>
        <v>0</v>
      </c>
      <c r="N70" s="266">
        <f t="shared" si="70"/>
        <v>0</v>
      </c>
      <c r="O70" s="266">
        <f t="shared" si="71"/>
        <v>0</v>
      </c>
      <c r="P70" s="266">
        <f t="shared" si="72"/>
        <v>0</v>
      </c>
      <c r="Q70" s="266">
        <f t="shared" si="73"/>
        <v>0</v>
      </c>
      <c r="R70" s="266">
        <f t="shared" si="74"/>
        <v>0</v>
      </c>
      <c r="S70" s="266">
        <f t="shared" si="75"/>
        <v>0</v>
      </c>
      <c r="T70" s="266">
        <f t="shared" si="80"/>
        <v>0</v>
      </c>
      <c r="U70" s="266">
        <f t="shared" si="81"/>
        <v>0</v>
      </c>
      <c r="V70" s="266">
        <f t="shared" si="86"/>
        <v>0</v>
      </c>
      <c r="W70" s="266">
        <f t="shared" si="87"/>
        <v>0</v>
      </c>
      <c r="X70" s="266">
        <f t="shared" si="92"/>
        <v>0</v>
      </c>
      <c r="Y70" s="266">
        <f t="shared" si="93"/>
        <v>0</v>
      </c>
      <c r="Z70" s="266">
        <f t="shared" si="97"/>
        <v>0</v>
      </c>
      <c r="AA70" s="266">
        <f t="shared" si="97"/>
        <v>0</v>
      </c>
      <c r="AB70" s="266">
        <f t="shared" si="98"/>
        <v>0</v>
      </c>
      <c r="AC70" s="266">
        <f t="shared" si="98"/>
        <v>0</v>
      </c>
      <c r="AD70" s="266">
        <f t="shared" si="98"/>
        <v>0</v>
      </c>
      <c r="AE70" s="266">
        <f t="shared" si="98"/>
        <v>0</v>
      </c>
      <c r="AF70" s="266">
        <f t="shared" si="98"/>
        <v>1</v>
      </c>
      <c r="AG70" s="266">
        <f t="shared" si="98"/>
        <v>1</v>
      </c>
      <c r="AH70" s="266">
        <f t="shared" si="98"/>
        <v>1</v>
      </c>
      <c r="AI70" s="266">
        <f t="shared" si="98"/>
        <v>1</v>
      </c>
      <c r="AJ70" s="266">
        <f t="shared" si="98"/>
        <v>1</v>
      </c>
      <c r="AK70" s="266">
        <f t="shared" si="98"/>
        <v>1</v>
      </c>
      <c r="AL70" s="266">
        <f t="shared" si="99"/>
        <v>1</v>
      </c>
      <c r="AM70" s="266">
        <f t="shared" si="99"/>
        <v>2</v>
      </c>
      <c r="AN70" s="266">
        <f t="shared" si="99"/>
        <v>2</v>
      </c>
      <c r="AO70" s="266">
        <f t="shared" si="99"/>
        <v>2</v>
      </c>
      <c r="AP70" s="266">
        <f t="shared" si="99"/>
        <v>2</v>
      </c>
      <c r="AQ70" s="266">
        <f t="shared" si="99"/>
        <v>2</v>
      </c>
      <c r="AR70" s="266">
        <f t="shared" si="99"/>
        <v>2</v>
      </c>
      <c r="AS70" s="266">
        <f t="shared" si="99"/>
        <v>2</v>
      </c>
      <c r="AT70" s="266">
        <f t="shared" si="99"/>
        <v>3</v>
      </c>
      <c r="AU70" s="266">
        <f t="shared" si="99"/>
        <v>3</v>
      </c>
      <c r="AV70" s="266">
        <f t="shared" si="100"/>
        <v>3</v>
      </c>
      <c r="AW70" s="266">
        <f t="shared" si="100"/>
        <v>3</v>
      </c>
      <c r="AX70" s="266">
        <f t="shared" si="100"/>
        <v>3</v>
      </c>
      <c r="AY70" s="266">
        <f t="shared" si="100"/>
        <v>5</v>
      </c>
      <c r="AZ70" s="266">
        <f t="shared" si="100"/>
        <v>5</v>
      </c>
      <c r="BA70" s="266">
        <f t="shared" si="100"/>
        <v>5</v>
      </c>
      <c r="BB70" s="266">
        <f t="shared" si="100"/>
        <v>5</v>
      </c>
      <c r="BC70" s="267">
        <f t="shared" si="100"/>
        <v>5</v>
      </c>
    </row>
    <row r="71" spans="4:55" x14ac:dyDescent="0.2">
      <c r="D71" s="265">
        <f t="shared" si="50"/>
        <v>69</v>
      </c>
      <c r="E71" s="266">
        <f t="shared" si="61"/>
        <v>0</v>
      </c>
      <c r="F71" s="266">
        <f t="shared" si="62"/>
        <v>0</v>
      </c>
      <c r="G71" s="266">
        <f t="shared" si="63"/>
        <v>0</v>
      </c>
      <c r="H71" s="266">
        <f t="shared" si="64"/>
        <v>0</v>
      </c>
      <c r="I71" s="266">
        <f t="shared" si="65"/>
        <v>0</v>
      </c>
      <c r="J71" s="266">
        <f t="shared" si="66"/>
        <v>0</v>
      </c>
      <c r="K71" s="266">
        <f t="shared" si="67"/>
        <v>0</v>
      </c>
      <c r="L71" s="266">
        <f t="shared" si="68"/>
        <v>0</v>
      </c>
      <c r="M71" s="266">
        <f t="shared" si="69"/>
        <v>0</v>
      </c>
      <c r="N71" s="266">
        <f t="shared" si="70"/>
        <v>0</v>
      </c>
      <c r="O71" s="266">
        <f t="shared" si="71"/>
        <v>0</v>
      </c>
      <c r="P71" s="266">
        <f t="shared" si="72"/>
        <v>0</v>
      </c>
      <c r="Q71" s="266">
        <f t="shared" si="73"/>
        <v>0</v>
      </c>
      <c r="R71" s="266">
        <f t="shared" si="74"/>
        <v>0</v>
      </c>
      <c r="S71" s="266">
        <f t="shared" si="75"/>
        <v>0</v>
      </c>
      <c r="T71" s="266">
        <f t="shared" si="80"/>
        <v>0</v>
      </c>
      <c r="U71" s="266">
        <f t="shared" si="81"/>
        <v>0</v>
      </c>
      <c r="V71" s="266">
        <f t="shared" si="86"/>
        <v>0</v>
      </c>
      <c r="W71" s="266">
        <f t="shared" si="87"/>
        <v>0</v>
      </c>
      <c r="X71" s="266">
        <f t="shared" si="92"/>
        <v>0</v>
      </c>
      <c r="Y71" s="266">
        <f t="shared" si="93"/>
        <v>0</v>
      </c>
      <c r="Z71" s="266">
        <f t="shared" si="97"/>
        <v>0</v>
      </c>
      <c r="AA71" s="266">
        <f t="shared" si="97"/>
        <v>0</v>
      </c>
      <c r="AB71" s="266">
        <f t="shared" si="98"/>
        <v>0</v>
      </c>
      <c r="AC71" s="266">
        <f t="shared" si="98"/>
        <v>0</v>
      </c>
      <c r="AD71" s="266">
        <f t="shared" si="98"/>
        <v>0</v>
      </c>
      <c r="AE71" s="266">
        <f t="shared" si="98"/>
        <v>0</v>
      </c>
      <c r="AF71" s="266">
        <f t="shared" si="98"/>
        <v>1</v>
      </c>
      <c r="AG71" s="266">
        <f t="shared" si="98"/>
        <v>1</v>
      </c>
      <c r="AH71" s="266">
        <f t="shared" si="98"/>
        <v>1</v>
      </c>
      <c r="AI71" s="266">
        <f t="shared" si="98"/>
        <v>1</v>
      </c>
      <c r="AJ71" s="266">
        <f t="shared" si="98"/>
        <v>1</v>
      </c>
      <c r="AK71" s="266">
        <f t="shared" si="98"/>
        <v>1</v>
      </c>
      <c r="AL71" s="266">
        <f t="shared" si="99"/>
        <v>1</v>
      </c>
      <c r="AM71" s="266">
        <f t="shared" si="99"/>
        <v>2</v>
      </c>
      <c r="AN71" s="266">
        <f t="shared" si="99"/>
        <v>2</v>
      </c>
      <c r="AO71" s="266">
        <f t="shared" si="99"/>
        <v>2</v>
      </c>
      <c r="AP71" s="266">
        <f t="shared" si="99"/>
        <v>2</v>
      </c>
      <c r="AQ71" s="266">
        <f t="shared" si="99"/>
        <v>2</v>
      </c>
      <c r="AR71" s="266">
        <f t="shared" si="99"/>
        <v>2</v>
      </c>
      <c r="AS71" s="266">
        <f t="shared" si="99"/>
        <v>2</v>
      </c>
      <c r="AT71" s="266">
        <f t="shared" si="99"/>
        <v>3</v>
      </c>
      <c r="AU71" s="266">
        <f t="shared" si="99"/>
        <v>3</v>
      </c>
      <c r="AV71" s="266">
        <f t="shared" si="100"/>
        <v>3</v>
      </c>
      <c r="AW71" s="266">
        <f t="shared" si="100"/>
        <v>3</v>
      </c>
      <c r="AX71" s="266">
        <f t="shared" si="100"/>
        <v>3</v>
      </c>
      <c r="AY71" s="266">
        <f t="shared" si="100"/>
        <v>5</v>
      </c>
      <c r="AZ71" s="266">
        <f t="shared" si="100"/>
        <v>5</v>
      </c>
      <c r="BA71" s="266">
        <f t="shared" si="100"/>
        <v>5</v>
      </c>
      <c r="BB71" s="266">
        <f t="shared" si="100"/>
        <v>5</v>
      </c>
      <c r="BC71" s="267">
        <f t="shared" si="100"/>
        <v>5</v>
      </c>
    </row>
    <row r="72" spans="4:55" x14ac:dyDescent="0.2">
      <c r="D72" s="265">
        <f t="shared" si="50"/>
        <v>70</v>
      </c>
      <c r="E72" s="266">
        <f t="shared" si="61"/>
        <v>0</v>
      </c>
      <c r="F72" s="266">
        <f t="shared" si="62"/>
        <v>0</v>
      </c>
      <c r="G72" s="266">
        <f t="shared" si="63"/>
        <v>0</v>
      </c>
      <c r="H72" s="266">
        <f t="shared" si="64"/>
        <v>0</v>
      </c>
      <c r="I72" s="266">
        <f t="shared" si="65"/>
        <v>0</v>
      </c>
      <c r="J72" s="266">
        <f t="shared" si="66"/>
        <v>0</v>
      </c>
      <c r="K72" s="266">
        <f t="shared" si="67"/>
        <v>0</v>
      </c>
      <c r="L72" s="266">
        <f t="shared" si="68"/>
        <v>0</v>
      </c>
      <c r="M72" s="266">
        <f t="shared" si="69"/>
        <v>0</v>
      </c>
      <c r="N72" s="266">
        <f t="shared" si="70"/>
        <v>0</v>
      </c>
      <c r="O72" s="266">
        <f t="shared" si="71"/>
        <v>0</v>
      </c>
      <c r="P72" s="266">
        <f t="shared" si="72"/>
        <v>0</v>
      </c>
      <c r="Q72" s="266">
        <f t="shared" si="73"/>
        <v>0</v>
      </c>
      <c r="R72" s="266">
        <f t="shared" si="74"/>
        <v>0</v>
      </c>
      <c r="S72" s="266">
        <f t="shared" si="75"/>
        <v>0</v>
      </c>
      <c r="T72" s="266">
        <f t="shared" si="80"/>
        <v>0</v>
      </c>
      <c r="U72" s="266">
        <f t="shared" si="81"/>
        <v>0</v>
      </c>
      <c r="V72" s="266">
        <f t="shared" si="86"/>
        <v>0</v>
      </c>
      <c r="W72" s="266">
        <f t="shared" si="87"/>
        <v>0</v>
      </c>
      <c r="X72" s="266">
        <f t="shared" si="92"/>
        <v>0</v>
      </c>
      <c r="Y72" s="266">
        <f t="shared" si="93"/>
        <v>0</v>
      </c>
      <c r="Z72" s="266">
        <f t="shared" si="97"/>
        <v>0</v>
      </c>
      <c r="AA72" s="266">
        <f t="shared" si="97"/>
        <v>0</v>
      </c>
      <c r="AB72" s="266">
        <f t="shared" si="98"/>
        <v>0</v>
      </c>
      <c r="AC72" s="266">
        <f t="shared" si="98"/>
        <v>0</v>
      </c>
      <c r="AD72" s="266">
        <f t="shared" si="98"/>
        <v>0</v>
      </c>
      <c r="AE72" s="266">
        <f t="shared" si="98"/>
        <v>0</v>
      </c>
      <c r="AF72" s="266">
        <f t="shared" si="98"/>
        <v>1</v>
      </c>
      <c r="AG72" s="266">
        <f t="shared" si="98"/>
        <v>1</v>
      </c>
      <c r="AH72" s="266">
        <f t="shared" si="98"/>
        <v>1</v>
      </c>
      <c r="AI72" s="266">
        <f t="shared" si="98"/>
        <v>1</v>
      </c>
      <c r="AJ72" s="266">
        <f t="shared" si="98"/>
        <v>1</v>
      </c>
      <c r="AK72" s="266">
        <f t="shared" si="98"/>
        <v>1</v>
      </c>
      <c r="AL72" s="266">
        <f t="shared" si="99"/>
        <v>1</v>
      </c>
      <c r="AM72" s="266">
        <f t="shared" si="99"/>
        <v>2</v>
      </c>
      <c r="AN72" s="266">
        <f t="shared" si="99"/>
        <v>2</v>
      </c>
      <c r="AO72" s="266">
        <f t="shared" si="99"/>
        <v>2</v>
      </c>
      <c r="AP72" s="266">
        <f t="shared" si="99"/>
        <v>2</v>
      </c>
      <c r="AQ72" s="266">
        <f t="shared" si="99"/>
        <v>2</v>
      </c>
      <c r="AR72" s="266">
        <f t="shared" si="99"/>
        <v>2</v>
      </c>
      <c r="AS72" s="266">
        <f t="shared" si="99"/>
        <v>2</v>
      </c>
      <c r="AT72" s="266">
        <f t="shared" si="99"/>
        <v>3</v>
      </c>
      <c r="AU72" s="266">
        <f t="shared" si="99"/>
        <v>3</v>
      </c>
      <c r="AV72" s="266">
        <f t="shared" si="100"/>
        <v>3</v>
      </c>
      <c r="AW72" s="266">
        <f t="shared" si="100"/>
        <v>3</v>
      </c>
      <c r="AX72" s="266">
        <f t="shared" si="100"/>
        <v>3</v>
      </c>
      <c r="AY72" s="266">
        <f t="shared" si="100"/>
        <v>5</v>
      </c>
      <c r="AZ72" s="266">
        <f t="shared" si="100"/>
        <v>5</v>
      </c>
      <c r="BA72" s="266">
        <f t="shared" si="100"/>
        <v>5</v>
      </c>
      <c r="BB72" s="266">
        <f t="shared" si="100"/>
        <v>5</v>
      </c>
      <c r="BC72" s="267">
        <f t="shared" si="100"/>
        <v>5</v>
      </c>
    </row>
    <row r="73" spans="4:55" x14ac:dyDescent="0.2">
      <c r="D73" s="265">
        <f t="shared" si="50"/>
        <v>71</v>
      </c>
      <c r="E73" s="266">
        <f t="shared" si="61"/>
        <v>0</v>
      </c>
      <c r="F73" s="266">
        <f t="shared" si="62"/>
        <v>0</v>
      </c>
      <c r="G73" s="266">
        <f t="shared" si="63"/>
        <v>0</v>
      </c>
      <c r="H73" s="266">
        <f t="shared" si="64"/>
        <v>0</v>
      </c>
      <c r="I73" s="266">
        <f t="shared" si="65"/>
        <v>0</v>
      </c>
      <c r="J73" s="266">
        <f t="shared" si="66"/>
        <v>0</v>
      </c>
      <c r="K73" s="266">
        <f t="shared" si="67"/>
        <v>0</v>
      </c>
      <c r="L73" s="266">
        <f t="shared" si="68"/>
        <v>0</v>
      </c>
      <c r="M73" s="266">
        <f t="shared" si="69"/>
        <v>0</v>
      </c>
      <c r="N73" s="266">
        <f t="shared" si="70"/>
        <v>0</v>
      </c>
      <c r="O73" s="266">
        <f t="shared" si="71"/>
        <v>0</v>
      </c>
      <c r="P73" s="266">
        <f t="shared" si="72"/>
        <v>0</v>
      </c>
      <c r="Q73" s="266">
        <f t="shared" si="73"/>
        <v>0</v>
      </c>
      <c r="R73" s="266">
        <f t="shared" si="74"/>
        <v>0</v>
      </c>
      <c r="S73" s="266">
        <f t="shared" si="75"/>
        <v>0</v>
      </c>
      <c r="T73" s="266">
        <f t="shared" si="80"/>
        <v>0</v>
      </c>
      <c r="U73" s="266">
        <f t="shared" si="81"/>
        <v>0</v>
      </c>
      <c r="V73" s="266">
        <f t="shared" si="86"/>
        <v>0</v>
      </c>
      <c r="W73" s="266">
        <f t="shared" si="87"/>
        <v>0</v>
      </c>
      <c r="X73" s="266">
        <f t="shared" si="92"/>
        <v>0</v>
      </c>
      <c r="Y73" s="266">
        <f t="shared" si="93"/>
        <v>0</v>
      </c>
      <c r="Z73" s="266">
        <f t="shared" si="97"/>
        <v>0</v>
      </c>
      <c r="AA73" s="266">
        <f t="shared" si="97"/>
        <v>0</v>
      </c>
      <c r="AB73" s="266">
        <f t="shared" si="98"/>
        <v>0</v>
      </c>
      <c r="AC73" s="266">
        <f t="shared" si="98"/>
        <v>0</v>
      </c>
      <c r="AD73" s="266">
        <f t="shared" si="98"/>
        <v>0</v>
      </c>
      <c r="AE73" s="266">
        <f t="shared" si="98"/>
        <v>0</v>
      </c>
      <c r="AF73" s="266">
        <f t="shared" si="98"/>
        <v>1</v>
      </c>
      <c r="AG73" s="266">
        <f t="shared" si="98"/>
        <v>1</v>
      </c>
      <c r="AH73" s="266">
        <f t="shared" si="98"/>
        <v>1</v>
      </c>
      <c r="AI73" s="266">
        <f t="shared" si="98"/>
        <v>1</v>
      </c>
      <c r="AJ73" s="266">
        <f t="shared" si="98"/>
        <v>1</v>
      </c>
      <c r="AK73" s="266">
        <f t="shared" si="98"/>
        <v>1</v>
      </c>
      <c r="AL73" s="266">
        <f t="shared" si="99"/>
        <v>1</v>
      </c>
      <c r="AM73" s="266">
        <f t="shared" si="99"/>
        <v>2</v>
      </c>
      <c r="AN73" s="266">
        <f t="shared" si="99"/>
        <v>2</v>
      </c>
      <c r="AO73" s="266">
        <f t="shared" si="99"/>
        <v>2</v>
      </c>
      <c r="AP73" s="266">
        <f t="shared" si="99"/>
        <v>2</v>
      </c>
      <c r="AQ73" s="266">
        <f t="shared" si="99"/>
        <v>2</v>
      </c>
      <c r="AR73" s="266">
        <f t="shared" si="99"/>
        <v>2</v>
      </c>
      <c r="AS73" s="266">
        <f t="shared" si="99"/>
        <v>2</v>
      </c>
      <c r="AT73" s="266">
        <f t="shared" si="99"/>
        <v>3</v>
      </c>
      <c r="AU73" s="266">
        <f t="shared" si="99"/>
        <v>3</v>
      </c>
      <c r="AV73" s="266">
        <f t="shared" si="100"/>
        <v>3</v>
      </c>
      <c r="AW73" s="266">
        <f t="shared" si="100"/>
        <v>3</v>
      </c>
      <c r="AX73" s="266">
        <f t="shared" si="100"/>
        <v>3</v>
      </c>
      <c r="AY73" s="266">
        <f t="shared" si="100"/>
        <v>5</v>
      </c>
      <c r="AZ73" s="266">
        <f t="shared" si="100"/>
        <v>5</v>
      </c>
      <c r="BA73" s="266">
        <f t="shared" si="100"/>
        <v>5</v>
      </c>
      <c r="BB73" s="266">
        <f t="shared" si="100"/>
        <v>5</v>
      </c>
      <c r="BC73" s="267">
        <f t="shared" si="100"/>
        <v>5</v>
      </c>
    </row>
    <row r="74" spans="4:55" x14ac:dyDescent="0.2">
      <c r="D74" s="265">
        <f t="shared" si="50"/>
        <v>72</v>
      </c>
      <c r="E74" s="266">
        <f t="shared" si="61"/>
        <v>0</v>
      </c>
      <c r="F74" s="266">
        <f t="shared" si="62"/>
        <v>0</v>
      </c>
      <c r="G74" s="266">
        <f t="shared" si="63"/>
        <v>0</v>
      </c>
      <c r="H74" s="266">
        <f t="shared" si="64"/>
        <v>0</v>
      </c>
      <c r="I74" s="266">
        <f t="shared" si="65"/>
        <v>0</v>
      </c>
      <c r="J74" s="266">
        <f t="shared" si="66"/>
        <v>0</v>
      </c>
      <c r="K74" s="266">
        <f t="shared" si="67"/>
        <v>0</v>
      </c>
      <c r="L74" s="266">
        <f t="shared" si="68"/>
        <v>0</v>
      </c>
      <c r="M74" s="266">
        <f t="shared" si="69"/>
        <v>0</v>
      </c>
      <c r="N74" s="266">
        <f t="shared" si="70"/>
        <v>0</v>
      </c>
      <c r="O74" s="266">
        <f t="shared" si="71"/>
        <v>0</v>
      </c>
      <c r="P74" s="266">
        <f t="shared" si="72"/>
        <v>0</v>
      </c>
      <c r="Q74" s="266">
        <f t="shared" si="73"/>
        <v>0</v>
      </c>
      <c r="R74" s="266">
        <f t="shared" si="74"/>
        <v>0</v>
      </c>
      <c r="S74" s="266">
        <f t="shared" si="75"/>
        <v>0</v>
      </c>
      <c r="T74" s="266">
        <f t="shared" si="80"/>
        <v>0</v>
      </c>
      <c r="U74" s="266">
        <f t="shared" si="81"/>
        <v>0</v>
      </c>
      <c r="V74" s="266">
        <f t="shared" si="86"/>
        <v>0</v>
      </c>
      <c r="W74" s="266">
        <f t="shared" si="87"/>
        <v>0</v>
      </c>
      <c r="X74" s="266">
        <f t="shared" si="92"/>
        <v>0</v>
      </c>
      <c r="Y74" s="266">
        <f t="shared" si="93"/>
        <v>0</v>
      </c>
      <c r="Z74" s="266">
        <f t="shared" si="97"/>
        <v>0</v>
      </c>
      <c r="AA74" s="266">
        <f t="shared" si="97"/>
        <v>0</v>
      </c>
      <c r="AB74" s="266">
        <f t="shared" si="98"/>
        <v>0</v>
      </c>
      <c r="AC74" s="266">
        <f t="shared" si="98"/>
        <v>0</v>
      </c>
      <c r="AD74" s="266">
        <f t="shared" si="98"/>
        <v>0</v>
      </c>
      <c r="AE74" s="266">
        <f t="shared" si="98"/>
        <v>0</v>
      </c>
      <c r="AF74" s="21">
        <v>0</v>
      </c>
      <c r="AG74" s="21">
        <v>0</v>
      </c>
      <c r="AH74" s="21">
        <v>1</v>
      </c>
      <c r="AI74" s="21">
        <v>1</v>
      </c>
      <c r="AJ74" s="21">
        <v>1</v>
      </c>
      <c r="AK74" s="21">
        <v>1</v>
      </c>
      <c r="AL74" s="21">
        <v>1</v>
      </c>
      <c r="AM74" s="21">
        <v>1</v>
      </c>
      <c r="AN74" s="21">
        <v>1</v>
      </c>
      <c r="AO74" s="21">
        <v>2</v>
      </c>
      <c r="AP74" s="21">
        <v>2</v>
      </c>
      <c r="AQ74" s="21">
        <v>2</v>
      </c>
      <c r="AR74" s="21">
        <v>2</v>
      </c>
      <c r="AS74" s="21">
        <v>2</v>
      </c>
      <c r="AT74" s="21">
        <v>2</v>
      </c>
      <c r="AU74" s="21">
        <v>2</v>
      </c>
      <c r="AV74" s="21">
        <v>3</v>
      </c>
      <c r="AW74" s="21">
        <v>3</v>
      </c>
      <c r="AX74" s="21">
        <v>3</v>
      </c>
      <c r="AY74" s="21">
        <v>3</v>
      </c>
      <c r="AZ74" s="21">
        <v>3</v>
      </c>
      <c r="BA74" s="21">
        <v>5</v>
      </c>
      <c r="BB74" s="21">
        <v>5</v>
      </c>
      <c r="BC74" s="268">
        <v>5</v>
      </c>
    </row>
    <row r="75" spans="4:55" x14ac:dyDescent="0.2">
      <c r="D75" s="265">
        <f t="shared" si="50"/>
        <v>73</v>
      </c>
      <c r="E75" s="266">
        <f t="shared" si="61"/>
        <v>0</v>
      </c>
      <c r="F75" s="266">
        <f t="shared" si="62"/>
        <v>0</v>
      </c>
      <c r="G75" s="266">
        <f t="shared" si="63"/>
        <v>0</v>
      </c>
      <c r="H75" s="266">
        <f t="shared" si="64"/>
        <v>0</v>
      </c>
      <c r="I75" s="266">
        <f t="shared" si="65"/>
        <v>0</v>
      </c>
      <c r="J75" s="266">
        <f t="shared" si="66"/>
        <v>0</v>
      </c>
      <c r="K75" s="266">
        <f t="shared" si="67"/>
        <v>0</v>
      </c>
      <c r="L75" s="266">
        <f t="shared" si="68"/>
        <v>0</v>
      </c>
      <c r="M75" s="266">
        <f t="shared" si="69"/>
        <v>0</v>
      </c>
      <c r="N75" s="266">
        <f t="shared" si="70"/>
        <v>0</v>
      </c>
      <c r="O75" s="266">
        <f t="shared" si="71"/>
        <v>0</v>
      </c>
      <c r="P75" s="266">
        <f t="shared" si="72"/>
        <v>0</v>
      </c>
      <c r="Q75" s="266">
        <f t="shared" si="73"/>
        <v>0</v>
      </c>
      <c r="R75" s="266">
        <f t="shared" si="74"/>
        <v>0</v>
      </c>
      <c r="S75" s="266">
        <f t="shared" si="75"/>
        <v>0</v>
      </c>
      <c r="T75" s="266">
        <f t="shared" si="80"/>
        <v>0</v>
      </c>
      <c r="U75" s="266">
        <f t="shared" si="81"/>
        <v>0</v>
      </c>
      <c r="V75" s="266">
        <f t="shared" si="86"/>
        <v>0</v>
      </c>
      <c r="W75" s="266">
        <f t="shared" si="87"/>
        <v>0</v>
      </c>
      <c r="X75" s="266">
        <f t="shared" si="92"/>
        <v>0</v>
      </c>
      <c r="Y75" s="266">
        <f t="shared" si="93"/>
        <v>0</v>
      </c>
      <c r="Z75" s="266">
        <f t="shared" si="97"/>
        <v>0</v>
      </c>
      <c r="AA75" s="266">
        <f t="shared" si="97"/>
        <v>0</v>
      </c>
      <c r="AB75" s="266">
        <f t="shared" si="98"/>
        <v>0</v>
      </c>
      <c r="AC75" s="266">
        <f t="shared" si="98"/>
        <v>0</v>
      </c>
      <c r="AD75" s="266">
        <f t="shared" si="98"/>
        <v>0</v>
      </c>
      <c r="AE75" s="266">
        <f t="shared" si="98"/>
        <v>0</v>
      </c>
      <c r="AF75" s="266">
        <f t="shared" si="98"/>
        <v>0</v>
      </c>
      <c r="AG75" s="266">
        <f t="shared" si="98"/>
        <v>0</v>
      </c>
      <c r="AH75" s="266">
        <f t="shared" si="98"/>
        <v>1</v>
      </c>
      <c r="AI75" s="266">
        <f t="shared" si="98"/>
        <v>1</v>
      </c>
      <c r="AJ75" s="266">
        <f t="shared" si="98"/>
        <v>1</v>
      </c>
      <c r="AK75" s="266">
        <f t="shared" si="98"/>
        <v>1</v>
      </c>
      <c r="AL75" s="266">
        <f t="shared" si="99"/>
        <v>1</v>
      </c>
      <c r="AM75" s="266">
        <f t="shared" si="99"/>
        <v>1</v>
      </c>
      <c r="AN75" s="266">
        <f t="shared" si="99"/>
        <v>1</v>
      </c>
      <c r="AO75" s="266">
        <f t="shared" si="99"/>
        <v>2</v>
      </c>
      <c r="AP75" s="266">
        <f t="shared" si="99"/>
        <v>2</v>
      </c>
      <c r="AQ75" s="266">
        <f t="shared" si="99"/>
        <v>2</v>
      </c>
      <c r="AR75" s="266">
        <f t="shared" si="99"/>
        <v>2</v>
      </c>
      <c r="AS75" s="266">
        <f t="shared" si="99"/>
        <v>2</v>
      </c>
      <c r="AT75" s="266">
        <f t="shared" si="99"/>
        <v>2</v>
      </c>
      <c r="AU75" s="266">
        <f t="shared" si="99"/>
        <v>2</v>
      </c>
      <c r="AV75" s="266">
        <f t="shared" si="100"/>
        <v>3</v>
      </c>
      <c r="AW75" s="266">
        <f t="shared" si="100"/>
        <v>3</v>
      </c>
      <c r="AX75" s="266">
        <f t="shared" si="100"/>
        <v>3</v>
      </c>
      <c r="AY75" s="266">
        <f t="shared" si="100"/>
        <v>3</v>
      </c>
      <c r="AZ75" s="266">
        <f t="shared" si="100"/>
        <v>3</v>
      </c>
      <c r="BA75" s="266">
        <f t="shared" si="100"/>
        <v>5</v>
      </c>
      <c r="BB75" s="266">
        <f t="shared" si="100"/>
        <v>5</v>
      </c>
      <c r="BC75" s="267">
        <f t="shared" si="100"/>
        <v>5</v>
      </c>
    </row>
    <row r="76" spans="4:55" x14ac:dyDescent="0.2">
      <c r="D76" s="265">
        <f t="shared" si="50"/>
        <v>74</v>
      </c>
      <c r="E76" s="266">
        <f t="shared" ref="E76:E100" si="101">E75</f>
        <v>0</v>
      </c>
      <c r="F76" s="266">
        <f t="shared" ref="F76:F100" si="102">F75</f>
        <v>0</v>
      </c>
      <c r="G76" s="266">
        <f t="shared" ref="G76:G100" si="103">G75</f>
        <v>0</v>
      </c>
      <c r="H76" s="266">
        <f t="shared" ref="H76:H100" si="104">H75</f>
        <v>0</v>
      </c>
      <c r="I76" s="266">
        <f t="shared" ref="I76:I100" si="105">I75</f>
        <v>0</v>
      </c>
      <c r="J76" s="266">
        <f t="shared" ref="J76:J100" si="106">J75</f>
        <v>0</v>
      </c>
      <c r="K76" s="266">
        <f t="shared" ref="K76:K100" si="107">K75</f>
        <v>0</v>
      </c>
      <c r="L76" s="266">
        <f t="shared" ref="L76:L100" si="108">L75</f>
        <v>0</v>
      </c>
      <c r="M76" s="266">
        <f t="shared" ref="M76:M100" si="109">M75</f>
        <v>0</v>
      </c>
      <c r="N76" s="266">
        <f t="shared" ref="N76:N100" si="110">N75</f>
        <v>0</v>
      </c>
      <c r="O76" s="266">
        <f t="shared" ref="O76:O100" si="111">O75</f>
        <v>0</v>
      </c>
      <c r="P76" s="266">
        <f t="shared" ref="P76:P100" si="112">P75</f>
        <v>0</v>
      </c>
      <c r="Q76" s="266">
        <f t="shared" ref="Q76:Q100" si="113">Q75</f>
        <v>0</v>
      </c>
      <c r="R76" s="266">
        <f t="shared" ref="R76:R100" si="114">R75</f>
        <v>0</v>
      </c>
      <c r="S76" s="266">
        <f t="shared" ref="S76:S100" si="115">S75</f>
        <v>0</v>
      </c>
      <c r="T76" s="266">
        <f t="shared" si="80"/>
        <v>0</v>
      </c>
      <c r="U76" s="266">
        <f t="shared" si="81"/>
        <v>0</v>
      </c>
      <c r="V76" s="266">
        <f t="shared" si="86"/>
        <v>0</v>
      </c>
      <c r="W76" s="266">
        <f t="shared" si="87"/>
        <v>0</v>
      </c>
      <c r="X76" s="266">
        <f t="shared" si="92"/>
        <v>0</v>
      </c>
      <c r="Y76" s="266">
        <f t="shared" si="93"/>
        <v>0</v>
      </c>
      <c r="Z76" s="266">
        <f t="shared" si="97"/>
        <v>0</v>
      </c>
      <c r="AA76" s="266">
        <f t="shared" si="97"/>
        <v>0</v>
      </c>
      <c r="AB76" s="266">
        <f t="shared" si="98"/>
        <v>0</v>
      </c>
      <c r="AC76" s="266">
        <f t="shared" si="98"/>
        <v>0</v>
      </c>
      <c r="AD76" s="266">
        <f t="shared" si="98"/>
        <v>0</v>
      </c>
      <c r="AE76" s="266">
        <f t="shared" si="98"/>
        <v>0</v>
      </c>
      <c r="AF76" s="266">
        <f t="shared" si="98"/>
        <v>0</v>
      </c>
      <c r="AG76" s="266">
        <f t="shared" si="98"/>
        <v>0</v>
      </c>
      <c r="AH76" s="266">
        <f t="shared" si="98"/>
        <v>1</v>
      </c>
      <c r="AI76" s="266">
        <f t="shared" si="98"/>
        <v>1</v>
      </c>
      <c r="AJ76" s="266">
        <f t="shared" si="98"/>
        <v>1</v>
      </c>
      <c r="AK76" s="266">
        <f t="shared" si="98"/>
        <v>1</v>
      </c>
      <c r="AL76" s="266">
        <f t="shared" si="99"/>
        <v>1</v>
      </c>
      <c r="AM76" s="266">
        <f t="shared" si="99"/>
        <v>1</v>
      </c>
      <c r="AN76" s="266">
        <f t="shared" si="99"/>
        <v>1</v>
      </c>
      <c r="AO76" s="266">
        <f t="shared" si="99"/>
        <v>2</v>
      </c>
      <c r="AP76" s="266">
        <f t="shared" si="99"/>
        <v>2</v>
      </c>
      <c r="AQ76" s="266">
        <f t="shared" si="99"/>
        <v>2</v>
      </c>
      <c r="AR76" s="266">
        <f t="shared" si="99"/>
        <v>2</v>
      </c>
      <c r="AS76" s="266">
        <f t="shared" si="99"/>
        <v>2</v>
      </c>
      <c r="AT76" s="266">
        <f t="shared" si="99"/>
        <v>2</v>
      </c>
      <c r="AU76" s="266">
        <f t="shared" si="99"/>
        <v>2</v>
      </c>
      <c r="AV76" s="266">
        <f t="shared" si="100"/>
        <v>3</v>
      </c>
      <c r="AW76" s="266">
        <f t="shared" si="100"/>
        <v>3</v>
      </c>
      <c r="AX76" s="266">
        <f t="shared" si="100"/>
        <v>3</v>
      </c>
      <c r="AY76" s="266">
        <f t="shared" si="100"/>
        <v>3</v>
      </c>
      <c r="AZ76" s="266">
        <f t="shared" si="100"/>
        <v>3</v>
      </c>
      <c r="BA76" s="266">
        <f t="shared" si="100"/>
        <v>5</v>
      </c>
      <c r="BB76" s="266">
        <f t="shared" si="100"/>
        <v>5</v>
      </c>
      <c r="BC76" s="267">
        <f t="shared" si="100"/>
        <v>5</v>
      </c>
    </row>
    <row r="77" spans="4:55" x14ac:dyDescent="0.2">
      <c r="D77" s="265">
        <f t="shared" si="50"/>
        <v>75</v>
      </c>
      <c r="E77" s="266">
        <f t="shared" si="101"/>
        <v>0</v>
      </c>
      <c r="F77" s="266">
        <f t="shared" si="102"/>
        <v>0</v>
      </c>
      <c r="G77" s="266">
        <f t="shared" si="103"/>
        <v>0</v>
      </c>
      <c r="H77" s="266">
        <f t="shared" si="104"/>
        <v>0</v>
      </c>
      <c r="I77" s="266">
        <f t="shared" si="105"/>
        <v>0</v>
      </c>
      <c r="J77" s="266">
        <f t="shared" si="106"/>
        <v>0</v>
      </c>
      <c r="K77" s="266">
        <f t="shared" si="107"/>
        <v>0</v>
      </c>
      <c r="L77" s="266">
        <f t="shared" si="108"/>
        <v>0</v>
      </c>
      <c r="M77" s="266">
        <f t="shared" si="109"/>
        <v>0</v>
      </c>
      <c r="N77" s="266">
        <f t="shared" si="110"/>
        <v>0</v>
      </c>
      <c r="O77" s="266">
        <f t="shared" si="111"/>
        <v>0</v>
      </c>
      <c r="P77" s="266">
        <f t="shared" si="112"/>
        <v>0</v>
      </c>
      <c r="Q77" s="266">
        <f t="shared" si="113"/>
        <v>0</v>
      </c>
      <c r="R77" s="266">
        <f t="shared" si="114"/>
        <v>0</v>
      </c>
      <c r="S77" s="266">
        <f t="shared" si="115"/>
        <v>0</v>
      </c>
      <c r="T77" s="266">
        <f t="shared" si="80"/>
        <v>0</v>
      </c>
      <c r="U77" s="266">
        <f t="shared" si="81"/>
        <v>0</v>
      </c>
      <c r="V77" s="266">
        <f t="shared" si="86"/>
        <v>0</v>
      </c>
      <c r="W77" s="266">
        <f t="shared" si="87"/>
        <v>0</v>
      </c>
      <c r="X77" s="266">
        <f t="shared" si="92"/>
        <v>0</v>
      </c>
      <c r="Y77" s="266">
        <f t="shared" si="93"/>
        <v>0</v>
      </c>
      <c r="Z77" s="266">
        <f t="shared" si="97"/>
        <v>0</v>
      </c>
      <c r="AA77" s="266">
        <f t="shared" si="97"/>
        <v>0</v>
      </c>
      <c r="AB77" s="266">
        <f t="shared" si="98"/>
        <v>0</v>
      </c>
      <c r="AC77" s="266">
        <f t="shared" si="98"/>
        <v>0</v>
      </c>
      <c r="AD77" s="266">
        <f t="shared" si="98"/>
        <v>0</v>
      </c>
      <c r="AE77" s="266">
        <f t="shared" si="98"/>
        <v>0</v>
      </c>
      <c r="AF77" s="266">
        <f t="shared" si="98"/>
        <v>0</v>
      </c>
      <c r="AG77" s="266">
        <f t="shared" si="98"/>
        <v>0</v>
      </c>
      <c r="AH77" s="266">
        <f t="shared" si="98"/>
        <v>1</v>
      </c>
      <c r="AI77" s="266">
        <f t="shared" si="98"/>
        <v>1</v>
      </c>
      <c r="AJ77" s="266">
        <f t="shared" si="98"/>
        <v>1</v>
      </c>
      <c r="AK77" s="266">
        <f t="shared" si="98"/>
        <v>1</v>
      </c>
      <c r="AL77" s="266">
        <f t="shared" si="99"/>
        <v>1</v>
      </c>
      <c r="AM77" s="266">
        <f t="shared" si="99"/>
        <v>1</v>
      </c>
      <c r="AN77" s="266">
        <f t="shared" si="99"/>
        <v>1</v>
      </c>
      <c r="AO77" s="266">
        <f t="shared" si="99"/>
        <v>2</v>
      </c>
      <c r="AP77" s="266">
        <f t="shared" si="99"/>
        <v>2</v>
      </c>
      <c r="AQ77" s="266">
        <f t="shared" si="99"/>
        <v>2</v>
      </c>
      <c r="AR77" s="266">
        <f t="shared" si="99"/>
        <v>2</v>
      </c>
      <c r="AS77" s="266">
        <f t="shared" si="99"/>
        <v>2</v>
      </c>
      <c r="AT77" s="266">
        <f t="shared" si="99"/>
        <v>2</v>
      </c>
      <c r="AU77" s="266">
        <f t="shared" si="99"/>
        <v>2</v>
      </c>
      <c r="AV77" s="266">
        <f t="shared" si="100"/>
        <v>3</v>
      </c>
      <c r="AW77" s="266">
        <f t="shared" si="100"/>
        <v>3</v>
      </c>
      <c r="AX77" s="266">
        <f t="shared" si="100"/>
        <v>3</v>
      </c>
      <c r="AY77" s="266">
        <f t="shared" si="100"/>
        <v>3</v>
      </c>
      <c r="AZ77" s="266">
        <f t="shared" si="100"/>
        <v>3</v>
      </c>
      <c r="BA77" s="266">
        <f t="shared" si="100"/>
        <v>5</v>
      </c>
      <c r="BB77" s="266">
        <f t="shared" si="100"/>
        <v>5</v>
      </c>
      <c r="BC77" s="267">
        <f t="shared" si="100"/>
        <v>5</v>
      </c>
    </row>
    <row r="78" spans="4:55" x14ac:dyDescent="0.2">
      <c r="D78" s="265">
        <f t="shared" si="50"/>
        <v>76</v>
      </c>
      <c r="E78" s="266">
        <f t="shared" si="101"/>
        <v>0</v>
      </c>
      <c r="F78" s="266">
        <f t="shared" si="102"/>
        <v>0</v>
      </c>
      <c r="G78" s="266">
        <f t="shared" si="103"/>
        <v>0</v>
      </c>
      <c r="H78" s="266">
        <f t="shared" si="104"/>
        <v>0</v>
      </c>
      <c r="I78" s="266">
        <f t="shared" si="105"/>
        <v>0</v>
      </c>
      <c r="J78" s="266">
        <f t="shared" si="106"/>
        <v>0</v>
      </c>
      <c r="K78" s="266">
        <f t="shared" si="107"/>
        <v>0</v>
      </c>
      <c r="L78" s="266">
        <f t="shared" si="108"/>
        <v>0</v>
      </c>
      <c r="M78" s="266">
        <f t="shared" si="109"/>
        <v>0</v>
      </c>
      <c r="N78" s="266">
        <f t="shared" si="110"/>
        <v>0</v>
      </c>
      <c r="O78" s="266">
        <f t="shared" si="111"/>
        <v>0</v>
      </c>
      <c r="P78" s="266">
        <f t="shared" si="112"/>
        <v>0</v>
      </c>
      <c r="Q78" s="266">
        <f t="shared" si="113"/>
        <v>0</v>
      </c>
      <c r="R78" s="266">
        <f t="shared" si="114"/>
        <v>0</v>
      </c>
      <c r="S78" s="266">
        <f t="shared" si="115"/>
        <v>0</v>
      </c>
      <c r="T78" s="266">
        <f t="shared" si="80"/>
        <v>0</v>
      </c>
      <c r="U78" s="266">
        <f t="shared" si="81"/>
        <v>0</v>
      </c>
      <c r="V78" s="266">
        <f t="shared" si="86"/>
        <v>0</v>
      </c>
      <c r="W78" s="266">
        <f t="shared" si="87"/>
        <v>0</v>
      </c>
      <c r="X78" s="266">
        <f t="shared" si="92"/>
        <v>0</v>
      </c>
      <c r="Y78" s="266">
        <f t="shared" si="93"/>
        <v>0</v>
      </c>
      <c r="Z78" s="266">
        <f t="shared" si="97"/>
        <v>0</v>
      </c>
      <c r="AA78" s="266">
        <f t="shared" si="97"/>
        <v>0</v>
      </c>
      <c r="AB78" s="266">
        <f t="shared" si="98"/>
        <v>0</v>
      </c>
      <c r="AC78" s="266">
        <f t="shared" si="98"/>
        <v>0</v>
      </c>
      <c r="AD78" s="266">
        <f t="shared" si="98"/>
        <v>0</v>
      </c>
      <c r="AE78" s="266">
        <f t="shared" si="98"/>
        <v>0</v>
      </c>
      <c r="AF78" s="266">
        <f t="shared" si="98"/>
        <v>0</v>
      </c>
      <c r="AG78" s="266">
        <f t="shared" si="98"/>
        <v>0</v>
      </c>
      <c r="AH78" s="266">
        <f t="shared" si="98"/>
        <v>1</v>
      </c>
      <c r="AI78" s="266">
        <f t="shared" si="98"/>
        <v>1</v>
      </c>
      <c r="AJ78" s="266">
        <f t="shared" si="98"/>
        <v>1</v>
      </c>
      <c r="AK78" s="266">
        <f t="shared" si="98"/>
        <v>1</v>
      </c>
      <c r="AL78" s="266">
        <f t="shared" si="99"/>
        <v>1</v>
      </c>
      <c r="AM78" s="266">
        <f t="shared" si="99"/>
        <v>1</v>
      </c>
      <c r="AN78" s="266">
        <f t="shared" si="99"/>
        <v>1</v>
      </c>
      <c r="AO78" s="266">
        <f t="shared" si="99"/>
        <v>2</v>
      </c>
      <c r="AP78" s="266">
        <f t="shared" si="99"/>
        <v>2</v>
      </c>
      <c r="AQ78" s="266">
        <f t="shared" si="99"/>
        <v>2</v>
      </c>
      <c r="AR78" s="266">
        <f t="shared" si="99"/>
        <v>2</v>
      </c>
      <c r="AS78" s="266">
        <f t="shared" si="99"/>
        <v>2</v>
      </c>
      <c r="AT78" s="266">
        <f t="shared" si="99"/>
        <v>2</v>
      </c>
      <c r="AU78" s="266">
        <f t="shared" si="99"/>
        <v>2</v>
      </c>
      <c r="AV78" s="266">
        <f t="shared" si="100"/>
        <v>3</v>
      </c>
      <c r="AW78" s="266">
        <f t="shared" si="100"/>
        <v>3</v>
      </c>
      <c r="AX78" s="266">
        <f t="shared" si="100"/>
        <v>3</v>
      </c>
      <c r="AY78" s="266">
        <f t="shared" si="100"/>
        <v>3</v>
      </c>
      <c r="AZ78" s="266">
        <f t="shared" si="100"/>
        <v>3</v>
      </c>
      <c r="BA78" s="266">
        <f t="shared" si="100"/>
        <v>5</v>
      </c>
      <c r="BB78" s="266">
        <f t="shared" si="100"/>
        <v>5</v>
      </c>
      <c r="BC78" s="267">
        <f t="shared" si="100"/>
        <v>5</v>
      </c>
    </row>
    <row r="79" spans="4:55" x14ac:dyDescent="0.2">
      <c r="D79" s="265">
        <f t="shared" si="50"/>
        <v>77</v>
      </c>
      <c r="E79" s="266">
        <f t="shared" si="101"/>
        <v>0</v>
      </c>
      <c r="F79" s="266">
        <f t="shared" si="102"/>
        <v>0</v>
      </c>
      <c r="G79" s="266">
        <f t="shared" si="103"/>
        <v>0</v>
      </c>
      <c r="H79" s="266">
        <f t="shared" si="104"/>
        <v>0</v>
      </c>
      <c r="I79" s="266">
        <f t="shared" si="105"/>
        <v>0</v>
      </c>
      <c r="J79" s="266">
        <f t="shared" si="106"/>
        <v>0</v>
      </c>
      <c r="K79" s="266">
        <f t="shared" si="107"/>
        <v>0</v>
      </c>
      <c r="L79" s="266">
        <f t="shared" si="108"/>
        <v>0</v>
      </c>
      <c r="M79" s="266">
        <f t="shared" si="109"/>
        <v>0</v>
      </c>
      <c r="N79" s="266">
        <f t="shared" si="110"/>
        <v>0</v>
      </c>
      <c r="O79" s="266">
        <f t="shared" si="111"/>
        <v>0</v>
      </c>
      <c r="P79" s="266">
        <f t="shared" si="112"/>
        <v>0</v>
      </c>
      <c r="Q79" s="266">
        <f t="shared" si="113"/>
        <v>0</v>
      </c>
      <c r="R79" s="266">
        <f t="shared" si="114"/>
        <v>0</v>
      </c>
      <c r="S79" s="266">
        <f t="shared" si="115"/>
        <v>0</v>
      </c>
      <c r="T79" s="266">
        <f t="shared" si="80"/>
        <v>0</v>
      </c>
      <c r="U79" s="266">
        <f t="shared" si="81"/>
        <v>0</v>
      </c>
      <c r="V79" s="266">
        <f t="shared" si="86"/>
        <v>0</v>
      </c>
      <c r="W79" s="266">
        <f t="shared" si="87"/>
        <v>0</v>
      </c>
      <c r="X79" s="266">
        <f t="shared" si="92"/>
        <v>0</v>
      </c>
      <c r="Y79" s="266">
        <f t="shared" si="93"/>
        <v>0</v>
      </c>
      <c r="Z79" s="266">
        <f t="shared" si="97"/>
        <v>0</v>
      </c>
      <c r="AA79" s="266">
        <f t="shared" si="97"/>
        <v>0</v>
      </c>
      <c r="AB79" s="266">
        <f t="shared" si="98"/>
        <v>0</v>
      </c>
      <c r="AC79" s="266">
        <f t="shared" si="98"/>
        <v>0</v>
      </c>
      <c r="AD79" s="266">
        <f t="shared" si="98"/>
        <v>0</v>
      </c>
      <c r="AE79" s="266">
        <f t="shared" si="98"/>
        <v>0</v>
      </c>
      <c r="AF79" s="266">
        <f t="shared" si="98"/>
        <v>0</v>
      </c>
      <c r="AG79" s="266">
        <f t="shared" si="98"/>
        <v>0</v>
      </c>
      <c r="AH79" s="21">
        <v>0</v>
      </c>
      <c r="AI79" s="21">
        <v>0</v>
      </c>
      <c r="AJ79" s="21">
        <v>1</v>
      </c>
      <c r="AK79" s="21">
        <v>1</v>
      </c>
      <c r="AL79" s="21">
        <v>1</v>
      </c>
      <c r="AM79" s="21">
        <v>1</v>
      </c>
      <c r="AN79" s="21">
        <v>1</v>
      </c>
      <c r="AO79" s="21">
        <v>1</v>
      </c>
      <c r="AP79" s="21">
        <v>1</v>
      </c>
      <c r="AQ79" s="21">
        <v>2</v>
      </c>
      <c r="AR79" s="21">
        <v>2</v>
      </c>
      <c r="AS79" s="21">
        <v>2</v>
      </c>
      <c r="AT79" s="21">
        <v>2</v>
      </c>
      <c r="AU79" s="21">
        <v>2</v>
      </c>
      <c r="AV79" s="21">
        <v>2</v>
      </c>
      <c r="AW79" s="21">
        <v>2</v>
      </c>
      <c r="AX79" s="21">
        <v>3</v>
      </c>
      <c r="AY79" s="21">
        <v>3</v>
      </c>
      <c r="AZ79" s="21">
        <v>3</v>
      </c>
      <c r="BA79" s="21">
        <v>3</v>
      </c>
      <c r="BB79" s="21">
        <v>3</v>
      </c>
      <c r="BC79" s="268">
        <v>5</v>
      </c>
    </row>
    <row r="80" spans="4:55" x14ac:dyDescent="0.2">
      <c r="D80" s="265">
        <f t="shared" si="50"/>
        <v>78</v>
      </c>
      <c r="E80" s="266">
        <f t="shared" si="101"/>
        <v>0</v>
      </c>
      <c r="F80" s="266">
        <f t="shared" si="102"/>
        <v>0</v>
      </c>
      <c r="G80" s="266">
        <f t="shared" si="103"/>
        <v>0</v>
      </c>
      <c r="H80" s="266">
        <f t="shared" si="104"/>
        <v>0</v>
      </c>
      <c r="I80" s="266">
        <f t="shared" si="105"/>
        <v>0</v>
      </c>
      <c r="J80" s="266">
        <f t="shared" si="106"/>
        <v>0</v>
      </c>
      <c r="K80" s="266">
        <f t="shared" si="107"/>
        <v>0</v>
      </c>
      <c r="L80" s="266">
        <f t="shared" si="108"/>
        <v>0</v>
      </c>
      <c r="M80" s="266">
        <f t="shared" si="109"/>
        <v>0</v>
      </c>
      <c r="N80" s="266">
        <f t="shared" si="110"/>
        <v>0</v>
      </c>
      <c r="O80" s="266">
        <f t="shared" si="111"/>
        <v>0</v>
      </c>
      <c r="P80" s="266">
        <f t="shared" si="112"/>
        <v>0</v>
      </c>
      <c r="Q80" s="266">
        <f t="shared" si="113"/>
        <v>0</v>
      </c>
      <c r="R80" s="266">
        <f t="shared" si="114"/>
        <v>0</v>
      </c>
      <c r="S80" s="266">
        <f t="shared" si="115"/>
        <v>0</v>
      </c>
      <c r="T80" s="266">
        <f t="shared" si="80"/>
        <v>0</v>
      </c>
      <c r="U80" s="266">
        <f t="shared" si="81"/>
        <v>0</v>
      </c>
      <c r="V80" s="266">
        <f t="shared" si="86"/>
        <v>0</v>
      </c>
      <c r="W80" s="266">
        <f t="shared" si="87"/>
        <v>0</v>
      </c>
      <c r="X80" s="266">
        <f t="shared" si="92"/>
        <v>0</v>
      </c>
      <c r="Y80" s="266">
        <f t="shared" si="93"/>
        <v>0</v>
      </c>
      <c r="Z80" s="266">
        <f t="shared" ref="Z80:Z93" si="116">Z79</f>
        <v>0</v>
      </c>
      <c r="AA80" s="266">
        <f t="shared" ref="AA80:AA93" si="117">AA79</f>
        <v>0</v>
      </c>
      <c r="AB80" s="266">
        <f t="shared" si="98"/>
        <v>0</v>
      </c>
      <c r="AC80" s="266">
        <f t="shared" si="98"/>
        <v>0</v>
      </c>
      <c r="AD80" s="266">
        <f t="shared" si="98"/>
        <v>0</v>
      </c>
      <c r="AE80" s="266">
        <f t="shared" si="98"/>
        <v>0</v>
      </c>
      <c r="AF80" s="266">
        <f t="shared" si="98"/>
        <v>0</v>
      </c>
      <c r="AG80" s="266">
        <f t="shared" si="98"/>
        <v>0</v>
      </c>
      <c r="AH80" s="266">
        <f t="shared" si="98"/>
        <v>0</v>
      </c>
      <c r="AI80" s="266">
        <f t="shared" si="98"/>
        <v>0</v>
      </c>
      <c r="AJ80" s="266">
        <f t="shared" si="98"/>
        <v>1</v>
      </c>
      <c r="AK80" s="266">
        <f t="shared" si="98"/>
        <v>1</v>
      </c>
      <c r="AL80" s="266">
        <f t="shared" si="99"/>
        <v>1</v>
      </c>
      <c r="AM80" s="266">
        <f t="shared" si="99"/>
        <v>1</v>
      </c>
      <c r="AN80" s="266">
        <f t="shared" si="99"/>
        <v>1</v>
      </c>
      <c r="AO80" s="266">
        <f t="shared" si="99"/>
        <v>1</v>
      </c>
      <c r="AP80" s="266">
        <f t="shared" si="99"/>
        <v>1</v>
      </c>
      <c r="AQ80" s="266">
        <f t="shared" si="99"/>
        <v>2</v>
      </c>
      <c r="AR80" s="266">
        <f t="shared" si="99"/>
        <v>2</v>
      </c>
      <c r="AS80" s="266">
        <f t="shared" si="99"/>
        <v>2</v>
      </c>
      <c r="AT80" s="266">
        <f t="shared" si="99"/>
        <v>2</v>
      </c>
      <c r="AU80" s="266">
        <f t="shared" si="99"/>
        <v>2</v>
      </c>
      <c r="AV80" s="266">
        <f t="shared" si="100"/>
        <v>2</v>
      </c>
      <c r="AW80" s="266">
        <f t="shared" si="100"/>
        <v>2</v>
      </c>
      <c r="AX80" s="266">
        <f t="shared" si="100"/>
        <v>3</v>
      </c>
      <c r="AY80" s="266">
        <f t="shared" si="100"/>
        <v>3</v>
      </c>
      <c r="AZ80" s="266">
        <f t="shared" si="100"/>
        <v>3</v>
      </c>
      <c r="BA80" s="266">
        <f t="shared" si="100"/>
        <v>3</v>
      </c>
      <c r="BB80" s="266">
        <f t="shared" si="100"/>
        <v>3</v>
      </c>
      <c r="BC80" s="267">
        <f t="shared" si="100"/>
        <v>5</v>
      </c>
    </row>
    <row r="81" spans="4:55" x14ac:dyDescent="0.2">
      <c r="D81" s="265">
        <f t="shared" si="50"/>
        <v>79</v>
      </c>
      <c r="E81" s="266">
        <f t="shared" si="101"/>
        <v>0</v>
      </c>
      <c r="F81" s="266">
        <f t="shared" si="102"/>
        <v>0</v>
      </c>
      <c r="G81" s="266">
        <f t="shared" si="103"/>
        <v>0</v>
      </c>
      <c r="H81" s="266">
        <f t="shared" si="104"/>
        <v>0</v>
      </c>
      <c r="I81" s="266">
        <f t="shared" si="105"/>
        <v>0</v>
      </c>
      <c r="J81" s="266">
        <f t="shared" si="106"/>
        <v>0</v>
      </c>
      <c r="K81" s="266">
        <f t="shared" si="107"/>
        <v>0</v>
      </c>
      <c r="L81" s="266">
        <f t="shared" si="108"/>
        <v>0</v>
      </c>
      <c r="M81" s="266">
        <f t="shared" si="109"/>
        <v>0</v>
      </c>
      <c r="N81" s="266">
        <f t="shared" si="110"/>
        <v>0</v>
      </c>
      <c r="O81" s="266">
        <f t="shared" si="111"/>
        <v>0</v>
      </c>
      <c r="P81" s="266">
        <f t="shared" si="112"/>
        <v>0</v>
      </c>
      <c r="Q81" s="266">
        <f t="shared" si="113"/>
        <v>0</v>
      </c>
      <c r="R81" s="266">
        <f t="shared" si="114"/>
        <v>0</v>
      </c>
      <c r="S81" s="266">
        <f t="shared" si="115"/>
        <v>0</v>
      </c>
      <c r="T81" s="266">
        <f t="shared" ref="T81:T100" si="118">T80</f>
        <v>0</v>
      </c>
      <c r="U81" s="266">
        <f t="shared" ref="U81:U100" si="119">U80</f>
        <v>0</v>
      </c>
      <c r="V81" s="266">
        <f t="shared" si="86"/>
        <v>0</v>
      </c>
      <c r="W81" s="266">
        <f t="shared" si="87"/>
        <v>0</v>
      </c>
      <c r="X81" s="266">
        <f t="shared" si="92"/>
        <v>0</v>
      </c>
      <c r="Y81" s="266">
        <f t="shared" si="93"/>
        <v>0</v>
      </c>
      <c r="Z81" s="266">
        <f t="shared" si="116"/>
        <v>0</v>
      </c>
      <c r="AA81" s="266">
        <f t="shared" si="117"/>
        <v>0</v>
      </c>
      <c r="AB81" s="266">
        <f t="shared" ref="AB81:AM82" si="120">AB80</f>
        <v>0</v>
      </c>
      <c r="AC81" s="266">
        <f t="shared" si="120"/>
        <v>0</v>
      </c>
      <c r="AD81" s="266">
        <f t="shared" si="120"/>
        <v>0</v>
      </c>
      <c r="AE81" s="266">
        <f t="shared" si="120"/>
        <v>0</v>
      </c>
      <c r="AF81" s="266">
        <f t="shared" si="120"/>
        <v>0</v>
      </c>
      <c r="AG81" s="266">
        <f t="shared" si="120"/>
        <v>0</v>
      </c>
      <c r="AH81" s="266">
        <f t="shared" si="120"/>
        <v>0</v>
      </c>
      <c r="AI81" s="266">
        <f t="shared" si="120"/>
        <v>0</v>
      </c>
      <c r="AJ81" s="266">
        <f t="shared" si="120"/>
        <v>1</v>
      </c>
      <c r="AK81" s="266">
        <f t="shared" si="120"/>
        <v>1</v>
      </c>
      <c r="AL81" s="266">
        <f t="shared" si="120"/>
        <v>1</v>
      </c>
      <c r="AM81" s="266">
        <f t="shared" si="120"/>
        <v>1</v>
      </c>
      <c r="AN81" s="266">
        <f t="shared" ref="AN81:BC102" si="121">AN80</f>
        <v>1</v>
      </c>
      <c r="AO81" s="266">
        <f t="shared" si="121"/>
        <v>1</v>
      </c>
      <c r="AP81" s="266">
        <f t="shared" si="121"/>
        <v>1</v>
      </c>
      <c r="AQ81" s="266">
        <f t="shared" si="121"/>
        <v>2</v>
      </c>
      <c r="AR81" s="266">
        <f t="shared" si="121"/>
        <v>2</v>
      </c>
      <c r="AS81" s="266">
        <f t="shared" si="121"/>
        <v>2</v>
      </c>
      <c r="AT81" s="266">
        <f t="shared" si="121"/>
        <v>2</v>
      </c>
      <c r="AU81" s="266">
        <f t="shared" si="121"/>
        <v>2</v>
      </c>
      <c r="AV81" s="266">
        <f t="shared" si="121"/>
        <v>2</v>
      </c>
      <c r="AW81" s="266">
        <f t="shared" si="121"/>
        <v>2</v>
      </c>
      <c r="AX81" s="266">
        <f t="shared" si="121"/>
        <v>3</v>
      </c>
      <c r="AY81" s="266">
        <f t="shared" si="121"/>
        <v>3</v>
      </c>
      <c r="AZ81" s="266">
        <f t="shared" si="121"/>
        <v>3</v>
      </c>
      <c r="BA81" s="266">
        <f t="shared" si="121"/>
        <v>3</v>
      </c>
      <c r="BB81" s="266">
        <f t="shared" si="121"/>
        <v>3</v>
      </c>
      <c r="BC81" s="267">
        <f t="shared" si="121"/>
        <v>5</v>
      </c>
    </row>
    <row r="82" spans="4:55" x14ac:dyDescent="0.2">
      <c r="D82" s="265">
        <f t="shared" si="50"/>
        <v>80</v>
      </c>
      <c r="E82" s="266">
        <f t="shared" si="101"/>
        <v>0</v>
      </c>
      <c r="F82" s="266">
        <f t="shared" si="102"/>
        <v>0</v>
      </c>
      <c r="G82" s="266">
        <f t="shared" si="103"/>
        <v>0</v>
      </c>
      <c r="H82" s="266">
        <f t="shared" si="104"/>
        <v>0</v>
      </c>
      <c r="I82" s="266">
        <f t="shared" si="105"/>
        <v>0</v>
      </c>
      <c r="J82" s="266">
        <f t="shared" si="106"/>
        <v>0</v>
      </c>
      <c r="K82" s="266">
        <f t="shared" si="107"/>
        <v>0</v>
      </c>
      <c r="L82" s="266">
        <f t="shared" si="108"/>
        <v>0</v>
      </c>
      <c r="M82" s="266">
        <f t="shared" si="109"/>
        <v>0</v>
      </c>
      <c r="N82" s="266">
        <f t="shared" si="110"/>
        <v>0</v>
      </c>
      <c r="O82" s="266">
        <f t="shared" si="111"/>
        <v>0</v>
      </c>
      <c r="P82" s="266">
        <f t="shared" si="112"/>
        <v>0</v>
      </c>
      <c r="Q82" s="266">
        <f t="shared" si="113"/>
        <v>0</v>
      </c>
      <c r="R82" s="266">
        <f t="shared" si="114"/>
        <v>0</v>
      </c>
      <c r="S82" s="266">
        <f t="shared" si="115"/>
        <v>0</v>
      </c>
      <c r="T82" s="266">
        <f t="shared" si="118"/>
        <v>0</v>
      </c>
      <c r="U82" s="266">
        <f t="shared" si="119"/>
        <v>0</v>
      </c>
      <c r="V82" s="266">
        <f t="shared" si="86"/>
        <v>0</v>
      </c>
      <c r="W82" s="266">
        <f t="shared" si="87"/>
        <v>0</v>
      </c>
      <c r="X82" s="266">
        <f t="shared" si="92"/>
        <v>0</v>
      </c>
      <c r="Y82" s="266">
        <f t="shared" si="93"/>
        <v>0</v>
      </c>
      <c r="Z82" s="266">
        <f t="shared" si="116"/>
        <v>0</v>
      </c>
      <c r="AA82" s="266">
        <f t="shared" si="117"/>
        <v>0</v>
      </c>
      <c r="AB82" s="266">
        <f t="shared" si="120"/>
        <v>0</v>
      </c>
      <c r="AC82" s="266">
        <f t="shared" si="120"/>
        <v>0</v>
      </c>
      <c r="AD82" s="266">
        <f t="shared" si="120"/>
        <v>0</v>
      </c>
      <c r="AE82" s="266">
        <f t="shared" si="120"/>
        <v>0</v>
      </c>
      <c r="AF82" s="266">
        <f t="shared" si="120"/>
        <v>0</v>
      </c>
      <c r="AG82" s="266">
        <f t="shared" si="120"/>
        <v>0</v>
      </c>
      <c r="AH82" s="266">
        <f t="shared" si="120"/>
        <v>0</v>
      </c>
      <c r="AI82" s="266">
        <f t="shared" si="120"/>
        <v>0</v>
      </c>
      <c r="AJ82" s="266">
        <f t="shared" si="120"/>
        <v>1</v>
      </c>
      <c r="AK82" s="266">
        <f t="shared" si="120"/>
        <v>1</v>
      </c>
      <c r="AL82" s="266">
        <f t="shared" si="120"/>
        <v>1</v>
      </c>
      <c r="AM82" s="266">
        <f t="shared" si="120"/>
        <v>1</v>
      </c>
      <c r="AN82" s="266">
        <f t="shared" si="121"/>
        <v>1</v>
      </c>
      <c r="AO82" s="266">
        <f t="shared" si="121"/>
        <v>1</v>
      </c>
      <c r="AP82" s="266">
        <f t="shared" si="121"/>
        <v>1</v>
      </c>
      <c r="AQ82" s="266">
        <f t="shared" si="121"/>
        <v>2</v>
      </c>
      <c r="AR82" s="266">
        <f t="shared" si="121"/>
        <v>2</v>
      </c>
      <c r="AS82" s="266">
        <f t="shared" si="121"/>
        <v>2</v>
      </c>
      <c r="AT82" s="266">
        <f t="shared" si="121"/>
        <v>2</v>
      </c>
      <c r="AU82" s="266">
        <f t="shared" si="121"/>
        <v>2</v>
      </c>
      <c r="AV82" s="266">
        <f t="shared" si="121"/>
        <v>2</v>
      </c>
      <c r="AW82" s="266">
        <f t="shared" si="121"/>
        <v>2</v>
      </c>
      <c r="AX82" s="266">
        <f t="shared" si="121"/>
        <v>3</v>
      </c>
      <c r="AY82" s="266">
        <f t="shared" si="121"/>
        <v>3</v>
      </c>
      <c r="AZ82" s="266">
        <f t="shared" si="121"/>
        <v>3</v>
      </c>
      <c r="BA82" s="266">
        <f t="shared" si="121"/>
        <v>3</v>
      </c>
      <c r="BB82" s="266">
        <f t="shared" si="121"/>
        <v>3</v>
      </c>
      <c r="BC82" s="267">
        <f t="shared" si="121"/>
        <v>5</v>
      </c>
    </row>
    <row r="83" spans="4:55" x14ac:dyDescent="0.2">
      <c r="D83" s="265">
        <f t="shared" si="50"/>
        <v>81</v>
      </c>
      <c r="E83" s="266">
        <f t="shared" si="101"/>
        <v>0</v>
      </c>
      <c r="F83" s="266">
        <f t="shared" si="102"/>
        <v>0</v>
      </c>
      <c r="G83" s="266">
        <f t="shared" si="103"/>
        <v>0</v>
      </c>
      <c r="H83" s="266">
        <f t="shared" si="104"/>
        <v>0</v>
      </c>
      <c r="I83" s="266">
        <f t="shared" si="105"/>
        <v>0</v>
      </c>
      <c r="J83" s="266">
        <f t="shared" si="106"/>
        <v>0</v>
      </c>
      <c r="K83" s="266">
        <f t="shared" si="107"/>
        <v>0</v>
      </c>
      <c r="L83" s="266">
        <f t="shared" si="108"/>
        <v>0</v>
      </c>
      <c r="M83" s="266">
        <f t="shared" si="109"/>
        <v>0</v>
      </c>
      <c r="N83" s="266">
        <f t="shared" si="110"/>
        <v>0</v>
      </c>
      <c r="O83" s="266">
        <f t="shared" si="111"/>
        <v>0</v>
      </c>
      <c r="P83" s="266">
        <f t="shared" si="112"/>
        <v>0</v>
      </c>
      <c r="Q83" s="266">
        <f t="shared" si="113"/>
        <v>0</v>
      </c>
      <c r="R83" s="266">
        <f t="shared" si="114"/>
        <v>0</v>
      </c>
      <c r="S83" s="266">
        <f t="shared" si="115"/>
        <v>0</v>
      </c>
      <c r="T83" s="266">
        <f t="shared" si="118"/>
        <v>0</v>
      </c>
      <c r="U83" s="266">
        <f t="shared" si="119"/>
        <v>0</v>
      </c>
      <c r="V83" s="266">
        <f t="shared" si="86"/>
        <v>0</v>
      </c>
      <c r="W83" s="266">
        <f t="shared" si="87"/>
        <v>0</v>
      </c>
      <c r="X83" s="266">
        <f t="shared" si="92"/>
        <v>0</v>
      </c>
      <c r="Y83" s="266">
        <f t="shared" si="93"/>
        <v>0</v>
      </c>
      <c r="Z83" s="266">
        <f t="shared" si="116"/>
        <v>0</v>
      </c>
      <c r="AA83" s="266">
        <f t="shared" si="117"/>
        <v>0</v>
      </c>
      <c r="AB83" s="266">
        <f t="shared" ref="AB83:AK83" si="122">AB82</f>
        <v>0</v>
      </c>
      <c r="AC83" s="266">
        <f t="shared" si="122"/>
        <v>0</v>
      </c>
      <c r="AD83" s="266">
        <f t="shared" si="122"/>
        <v>0</v>
      </c>
      <c r="AE83" s="266">
        <f t="shared" si="122"/>
        <v>0</v>
      </c>
      <c r="AF83" s="266">
        <f t="shared" si="122"/>
        <v>0</v>
      </c>
      <c r="AG83" s="266">
        <f t="shared" si="122"/>
        <v>0</v>
      </c>
      <c r="AH83" s="266">
        <f t="shared" si="122"/>
        <v>0</v>
      </c>
      <c r="AI83" s="266">
        <f t="shared" si="122"/>
        <v>0</v>
      </c>
      <c r="AJ83" s="266">
        <f t="shared" si="122"/>
        <v>1</v>
      </c>
      <c r="AK83" s="266">
        <f t="shared" si="122"/>
        <v>1</v>
      </c>
      <c r="AL83" s="266">
        <f t="shared" ref="AL83:AL102" si="123">AL82</f>
        <v>1</v>
      </c>
      <c r="AM83" s="266">
        <f>AM82</f>
        <v>1</v>
      </c>
      <c r="AN83" s="266">
        <f t="shared" si="121"/>
        <v>1</v>
      </c>
      <c r="AO83" s="266">
        <f t="shared" si="121"/>
        <v>1</v>
      </c>
      <c r="AP83" s="266">
        <f t="shared" si="121"/>
        <v>1</v>
      </c>
      <c r="AQ83" s="266">
        <f t="shared" si="121"/>
        <v>2</v>
      </c>
      <c r="AR83" s="266">
        <f t="shared" si="121"/>
        <v>2</v>
      </c>
      <c r="AS83" s="266">
        <f t="shared" si="121"/>
        <v>2</v>
      </c>
      <c r="AT83" s="266">
        <f t="shared" si="121"/>
        <v>2</v>
      </c>
      <c r="AU83" s="266">
        <f t="shared" si="121"/>
        <v>2</v>
      </c>
      <c r="AV83" s="266">
        <f t="shared" si="121"/>
        <v>2</v>
      </c>
      <c r="AW83" s="266">
        <f t="shared" si="121"/>
        <v>2</v>
      </c>
      <c r="AX83" s="266">
        <f t="shared" si="121"/>
        <v>3</v>
      </c>
      <c r="AY83" s="266">
        <f t="shared" si="121"/>
        <v>3</v>
      </c>
      <c r="AZ83" s="266">
        <f t="shared" si="121"/>
        <v>3</v>
      </c>
      <c r="BA83" s="266">
        <f t="shared" si="121"/>
        <v>3</v>
      </c>
      <c r="BB83" s="266">
        <f t="shared" si="121"/>
        <v>3</v>
      </c>
      <c r="BC83" s="267">
        <f t="shared" si="121"/>
        <v>5</v>
      </c>
    </row>
    <row r="84" spans="4:55" x14ac:dyDescent="0.2">
      <c r="D84" s="265">
        <f t="shared" si="50"/>
        <v>82</v>
      </c>
      <c r="E84" s="266">
        <f t="shared" si="101"/>
        <v>0</v>
      </c>
      <c r="F84" s="266">
        <f t="shared" si="102"/>
        <v>0</v>
      </c>
      <c r="G84" s="266">
        <f t="shared" si="103"/>
        <v>0</v>
      </c>
      <c r="H84" s="266">
        <f t="shared" si="104"/>
        <v>0</v>
      </c>
      <c r="I84" s="266">
        <f t="shared" si="105"/>
        <v>0</v>
      </c>
      <c r="J84" s="266">
        <f t="shared" si="106"/>
        <v>0</v>
      </c>
      <c r="K84" s="266">
        <f t="shared" si="107"/>
        <v>0</v>
      </c>
      <c r="L84" s="266">
        <f t="shared" si="108"/>
        <v>0</v>
      </c>
      <c r="M84" s="266">
        <f t="shared" si="109"/>
        <v>0</v>
      </c>
      <c r="N84" s="266">
        <f t="shared" si="110"/>
        <v>0</v>
      </c>
      <c r="O84" s="266">
        <f t="shared" si="111"/>
        <v>0</v>
      </c>
      <c r="P84" s="266">
        <f t="shared" si="112"/>
        <v>0</v>
      </c>
      <c r="Q84" s="266">
        <f t="shared" si="113"/>
        <v>0</v>
      </c>
      <c r="R84" s="266">
        <f t="shared" si="114"/>
        <v>0</v>
      </c>
      <c r="S84" s="266">
        <f t="shared" si="115"/>
        <v>0</v>
      </c>
      <c r="T84" s="266">
        <f t="shared" si="118"/>
        <v>0</v>
      </c>
      <c r="U84" s="266">
        <f t="shared" si="119"/>
        <v>0</v>
      </c>
      <c r="V84" s="266">
        <f t="shared" si="86"/>
        <v>0</v>
      </c>
      <c r="W84" s="266">
        <f t="shared" si="87"/>
        <v>0</v>
      </c>
      <c r="X84" s="266">
        <f t="shared" si="92"/>
        <v>0</v>
      </c>
      <c r="Y84" s="266">
        <f t="shared" si="93"/>
        <v>0</v>
      </c>
      <c r="Z84" s="266">
        <f t="shared" si="116"/>
        <v>0</v>
      </c>
      <c r="AA84" s="266">
        <f t="shared" si="117"/>
        <v>0</v>
      </c>
      <c r="AB84" s="266">
        <f t="shared" ref="AB84:AI85" si="124">AB83</f>
        <v>0</v>
      </c>
      <c r="AC84" s="266">
        <f t="shared" si="124"/>
        <v>0</v>
      </c>
      <c r="AD84" s="266">
        <f t="shared" si="124"/>
        <v>0</v>
      </c>
      <c r="AE84" s="266">
        <f t="shared" si="124"/>
        <v>0</v>
      </c>
      <c r="AF84" s="266">
        <f t="shared" si="124"/>
        <v>0</v>
      </c>
      <c r="AG84" s="266">
        <f t="shared" si="124"/>
        <v>0</v>
      </c>
      <c r="AH84" s="266">
        <f t="shared" si="124"/>
        <v>0</v>
      </c>
      <c r="AI84" s="266">
        <f t="shared" si="124"/>
        <v>0</v>
      </c>
      <c r="AJ84" s="21">
        <v>0</v>
      </c>
      <c r="AK84" s="21">
        <v>0</v>
      </c>
      <c r="AL84" s="21">
        <v>1</v>
      </c>
      <c r="AM84" s="21">
        <v>1</v>
      </c>
      <c r="AN84" s="21">
        <v>1</v>
      </c>
      <c r="AO84" s="21">
        <v>1</v>
      </c>
      <c r="AP84" s="21">
        <v>1</v>
      </c>
      <c r="AQ84" s="21">
        <v>1</v>
      </c>
      <c r="AR84" s="21">
        <v>1</v>
      </c>
      <c r="AS84" s="21">
        <v>2</v>
      </c>
      <c r="AT84" s="21">
        <v>2</v>
      </c>
      <c r="AU84" s="21">
        <v>2</v>
      </c>
      <c r="AV84" s="21">
        <v>2</v>
      </c>
      <c r="AW84" s="21">
        <v>2</v>
      </c>
      <c r="AX84" s="21">
        <v>2</v>
      </c>
      <c r="AY84" s="21">
        <v>2</v>
      </c>
      <c r="AZ84" s="21">
        <v>3</v>
      </c>
      <c r="BA84" s="21">
        <v>3</v>
      </c>
      <c r="BB84" s="21">
        <v>3</v>
      </c>
      <c r="BC84" s="268">
        <v>3</v>
      </c>
    </row>
    <row r="85" spans="4:55" x14ac:dyDescent="0.2">
      <c r="D85" s="265">
        <f t="shared" si="50"/>
        <v>83</v>
      </c>
      <c r="E85" s="266">
        <f t="shared" si="101"/>
        <v>0</v>
      </c>
      <c r="F85" s="266">
        <f t="shared" si="102"/>
        <v>0</v>
      </c>
      <c r="G85" s="266">
        <f t="shared" si="103"/>
        <v>0</v>
      </c>
      <c r="H85" s="266">
        <f t="shared" si="104"/>
        <v>0</v>
      </c>
      <c r="I85" s="266">
        <f t="shared" si="105"/>
        <v>0</v>
      </c>
      <c r="J85" s="266">
        <f t="shared" si="106"/>
        <v>0</v>
      </c>
      <c r="K85" s="266">
        <f t="shared" si="107"/>
        <v>0</v>
      </c>
      <c r="L85" s="266">
        <f t="shared" si="108"/>
        <v>0</v>
      </c>
      <c r="M85" s="266">
        <f t="shared" si="109"/>
        <v>0</v>
      </c>
      <c r="N85" s="266">
        <f t="shared" si="110"/>
        <v>0</v>
      </c>
      <c r="O85" s="266">
        <f t="shared" si="111"/>
        <v>0</v>
      </c>
      <c r="P85" s="266">
        <f t="shared" si="112"/>
        <v>0</v>
      </c>
      <c r="Q85" s="266">
        <f t="shared" si="113"/>
        <v>0</v>
      </c>
      <c r="R85" s="266">
        <f t="shared" si="114"/>
        <v>0</v>
      </c>
      <c r="S85" s="266">
        <f t="shared" si="115"/>
        <v>0</v>
      </c>
      <c r="T85" s="266">
        <f t="shared" si="118"/>
        <v>0</v>
      </c>
      <c r="U85" s="266">
        <f t="shared" si="119"/>
        <v>0</v>
      </c>
      <c r="V85" s="266">
        <f t="shared" si="86"/>
        <v>0</v>
      </c>
      <c r="W85" s="266">
        <f t="shared" si="87"/>
        <v>0</v>
      </c>
      <c r="X85" s="266">
        <f t="shared" si="92"/>
        <v>0</v>
      </c>
      <c r="Y85" s="266">
        <f t="shared" si="93"/>
        <v>0</v>
      </c>
      <c r="Z85" s="266">
        <f t="shared" si="116"/>
        <v>0</v>
      </c>
      <c r="AA85" s="266">
        <f t="shared" si="117"/>
        <v>0</v>
      </c>
      <c r="AB85" s="266">
        <f t="shared" si="124"/>
        <v>0</v>
      </c>
      <c r="AC85" s="266">
        <f t="shared" si="124"/>
        <v>0</v>
      </c>
      <c r="AD85" s="266">
        <f t="shared" si="124"/>
        <v>0</v>
      </c>
      <c r="AE85" s="266">
        <f t="shared" si="124"/>
        <v>0</v>
      </c>
      <c r="AF85" s="266">
        <f t="shared" si="124"/>
        <v>0</v>
      </c>
      <c r="AG85" s="266">
        <f t="shared" si="124"/>
        <v>0</v>
      </c>
      <c r="AH85" s="266">
        <f t="shared" si="124"/>
        <v>0</v>
      </c>
      <c r="AI85" s="266">
        <f t="shared" si="124"/>
        <v>0</v>
      </c>
      <c r="AJ85" s="266">
        <f t="shared" ref="AJ85:AK102" si="125">AJ84</f>
        <v>0</v>
      </c>
      <c r="AK85" s="266">
        <f t="shared" si="125"/>
        <v>0</v>
      </c>
      <c r="AL85" s="266">
        <f t="shared" si="123"/>
        <v>1</v>
      </c>
      <c r="AM85" s="266">
        <f>AM84</f>
        <v>1</v>
      </c>
      <c r="AN85" s="266">
        <f t="shared" si="121"/>
        <v>1</v>
      </c>
      <c r="AO85" s="266">
        <f t="shared" si="121"/>
        <v>1</v>
      </c>
      <c r="AP85" s="266">
        <f t="shared" si="121"/>
        <v>1</v>
      </c>
      <c r="AQ85" s="266">
        <f t="shared" si="121"/>
        <v>1</v>
      </c>
      <c r="AR85" s="266">
        <f t="shared" si="121"/>
        <v>1</v>
      </c>
      <c r="AS85" s="266">
        <f t="shared" si="121"/>
        <v>2</v>
      </c>
      <c r="AT85" s="266">
        <f t="shared" si="121"/>
        <v>2</v>
      </c>
      <c r="AU85" s="266">
        <f t="shared" si="121"/>
        <v>2</v>
      </c>
      <c r="AV85" s="266">
        <f t="shared" si="121"/>
        <v>2</v>
      </c>
      <c r="AW85" s="266">
        <f t="shared" si="121"/>
        <v>2</v>
      </c>
      <c r="AX85" s="266">
        <f t="shared" si="121"/>
        <v>2</v>
      </c>
      <c r="AY85" s="266">
        <f t="shared" si="121"/>
        <v>2</v>
      </c>
      <c r="AZ85" s="266">
        <f t="shared" si="121"/>
        <v>3</v>
      </c>
      <c r="BA85" s="266">
        <f t="shared" si="121"/>
        <v>3</v>
      </c>
      <c r="BB85" s="266">
        <f t="shared" si="121"/>
        <v>3</v>
      </c>
      <c r="BC85" s="267">
        <f t="shared" si="121"/>
        <v>3</v>
      </c>
    </row>
    <row r="86" spans="4:55" x14ac:dyDescent="0.2">
      <c r="D86" s="265">
        <f t="shared" si="50"/>
        <v>84</v>
      </c>
      <c r="E86" s="266">
        <f t="shared" si="101"/>
        <v>0</v>
      </c>
      <c r="F86" s="266">
        <f t="shared" si="102"/>
        <v>0</v>
      </c>
      <c r="G86" s="266">
        <f t="shared" si="103"/>
        <v>0</v>
      </c>
      <c r="H86" s="266">
        <f t="shared" si="104"/>
        <v>0</v>
      </c>
      <c r="I86" s="266">
        <f t="shared" si="105"/>
        <v>0</v>
      </c>
      <c r="J86" s="266">
        <f t="shared" si="106"/>
        <v>0</v>
      </c>
      <c r="K86" s="266">
        <f t="shared" si="107"/>
        <v>0</v>
      </c>
      <c r="L86" s="266">
        <f t="shared" si="108"/>
        <v>0</v>
      </c>
      <c r="M86" s="266">
        <f t="shared" si="109"/>
        <v>0</v>
      </c>
      <c r="N86" s="266">
        <f t="shared" si="110"/>
        <v>0</v>
      </c>
      <c r="O86" s="266">
        <f t="shared" si="111"/>
        <v>0</v>
      </c>
      <c r="P86" s="266">
        <f t="shared" si="112"/>
        <v>0</v>
      </c>
      <c r="Q86" s="266">
        <f t="shared" si="113"/>
        <v>0</v>
      </c>
      <c r="R86" s="266">
        <f t="shared" si="114"/>
        <v>0</v>
      </c>
      <c r="S86" s="266">
        <f t="shared" si="115"/>
        <v>0</v>
      </c>
      <c r="T86" s="266">
        <f t="shared" si="118"/>
        <v>0</v>
      </c>
      <c r="U86" s="266">
        <f t="shared" si="119"/>
        <v>0</v>
      </c>
      <c r="V86" s="266">
        <f t="shared" ref="V86:V102" si="126">V85</f>
        <v>0</v>
      </c>
      <c r="W86" s="266">
        <f t="shared" ref="W86:W102" si="127">W85</f>
        <v>0</v>
      </c>
      <c r="X86" s="266">
        <f t="shared" si="92"/>
        <v>0</v>
      </c>
      <c r="Y86" s="266">
        <f t="shared" si="93"/>
        <v>0</v>
      </c>
      <c r="Z86" s="266">
        <f t="shared" si="116"/>
        <v>0</v>
      </c>
      <c r="AA86" s="266">
        <f t="shared" si="117"/>
        <v>0</v>
      </c>
      <c r="AB86" s="266">
        <f t="shared" ref="AB86:AH86" si="128">AB85</f>
        <v>0</v>
      </c>
      <c r="AC86" s="266">
        <f t="shared" si="128"/>
        <v>0</v>
      </c>
      <c r="AD86" s="266">
        <f t="shared" si="128"/>
        <v>0</v>
      </c>
      <c r="AE86" s="266">
        <f t="shared" si="128"/>
        <v>0</v>
      </c>
      <c r="AF86" s="266">
        <f t="shared" si="128"/>
        <v>0</v>
      </c>
      <c r="AG86" s="266">
        <f t="shared" si="128"/>
        <v>0</v>
      </c>
      <c r="AH86" s="266">
        <f t="shared" si="128"/>
        <v>0</v>
      </c>
      <c r="AI86" s="266">
        <f t="shared" ref="AI86:AI102" si="129">AI85</f>
        <v>0</v>
      </c>
      <c r="AJ86" s="266">
        <f t="shared" si="125"/>
        <v>0</v>
      </c>
      <c r="AK86" s="266">
        <f t="shared" si="125"/>
        <v>0</v>
      </c>
      <c r="AL86" s="266">
        <f t="shared" si="123"/>
        <v>1</v>
      </c>
      <c r="AM86" s="266">
        <f>AM85</f>
        <v>1</v>
      </c>
      <c r="AN86" s="266">
        <f t="shared" si="121"/>
        <v>1</v>
      </c>
      <c r="AO86" s="266">
        <f t="shared" si="121"/>
        <v>1</v>
      </c>
      <c r="AP86" s="266">
        <f t="shared" si="121"/>
        <v>1</v>
      </c>
      <c r="AQ86" s="266">
        <f t="shared" si="121"/>
        <v>1</v>
      </c>
      <c r="AR86" s="266">
        <f t="shared" si="121"/>
        <v>1</v>
      </c>
      <c r="AS86" s="266">
        <f t="shared" si="121"/>
        <v>2</v>
      </c>
      <c r="AT86" s="266">
        <f t="shared" si="121"/>
        <v>2</v>
      </c>
      <c r="AU86" s="266">
        <f t="shared" si="121"/>
        <v>2</v>
      </c>
      <c r="AV86" s="266">
        <f t="shared" si="121"/>
        <v>2</v>
      </c>
      <c r="AW86" s="266">
        <f t="shared" si="121"/>
        <v>2</v>
      </c>
      <c r="AX86" s="266">
        <f t="shared" si="121"/>
        <v>2</v>
      </c>
      <c r="AY86" s="266">
        <f t="shared" si="121"/>
        <v>2</v>
      </c>
      <c r="AZ86" s="266">
        <f t="shared" si="121"/>
        <v>3</v>
      </c>
      <c r="BA86" s="266">
        <f t="shared" si="121"/>
        <v>3</v>
      </c>
      <c r="BB86" s="266">
        <f t="shared" si="121"/>
        <v>3</v>
      </c>
      <c r="BC86" s="267">
        <f t="shared" si="121"/>
        <v>3</v>
      </c>
    </row>
    <row r="87" spans="4:55" x14ac:dyDescent="0.2">
      <c r="D87" s="265">
        <f t="shared" si="50"/>
        <v>85</v>
      </c>
      <c r="E87" s="266">
        <f t="shared" si="101"/>
        <v>0</v>
      </c>
      <c r="F87" s="266">
        <f t="shared" si="102"/>
        <v>0</v>
      </c>
      <c r="G87" s="266">
        <f t="shared" si="103"/>
        <v>0</v>
      </c>
      <c r="H87" s="266">
        <f t="shared" si="104"/>
        <v>0</v>
      </c>
      <c r="I87" s="266">
        <f t="shared" si="105"/>
        <v>0</v>
      </c>
      <c r="J87" s="266">
        <f t="shared" si="106"/>
        <v>0</v>
      </c>
      <c r="K87" s="266">
        <f t="shared" si="107"/>
        <v>0</v>
      </c>
      <c r="L87" s="266">
        <f t="shared" si="108"/>
        <v>0</v>
      </c>
      <c r="M87" s="266">
        <f t="shared" si="109"/>
        <v>0</v>
      </c>
      <c r="N87" s="266">
        <f t="shared" si="110"/>
        <v>0</v>
      </c>
      <c r="O87" s="266">
        <f t="shared" si="111"/>
        <v>0</v>
      </c>
      <c r="P87" s="266">
        <f t="shared" si="112"/>
        <v>0</v>
      </c>
      <c r="Q87" s="266">
        <f t="shared" si="113"/>
        <v>0</v>
      </c>
      <c r="R87" s="266">
        <f t="shared" si="114"/>
        <v>0</v>
      </c>
      <c r="S87" s="266">
        <f t="shared" si="115"/>
        <v>0</v>
      </c>
      <c r="T87" s="266">
        <f t="shared" si="118"/>
        <v>0</v>
      </c>
      <c r="U87" s="266">
        <f t="shared" si="119"/>
        <v>0</v>
      </c>
      <c r="V87" s="266">
        <f t="shared" si="126"/>
        <v>0</v>
      </c>
      <c r="W87" s="266">
        <f t="shared" si="127"/>
        <v>0</v>
      </c>
      <c r="X87" s="266">
        <f t="shared" si="92"/>
        <v>0</v>
      </c>
      <c r="Y87" s="266">
        <f t="shared" si="93"/>
        <v>0</v>
      </c>
      <c r="Z87" s="266">
        <f t="shared" si="116"/>
        <v>0</v>
      </c>
      <c r="AA87" s="266">
        <f t="shared" si="117"/>
        <v>0</v>
      </c>
      <c r="AB87" s="266">
        <f t="shared" ref="AB87:AG87" si="130">AB86</f>
        <v>0</v>
      </c>
      <c r="AC87" s="266">
        <f t="shared" si="130"/>
        <v>0</v>
      </c>
      <c r="AD87" s="266">
        <f t="shared" si="130"/>
        <v>0</v>
      </c>
      <c r="AE87" s="266">
        <f t="shared" si="130"/>
        <v>0</v>
      </c>
      <c r="AF87" s="266">
        <f t="shared" si="130"/>
        <v>0</v>
      </c>
      <c r="AG87" s="266">
        <f t="shared" si="130"/>
        <v>0</v>
      </c>
      <c r="AH87" s="266">
        <f t="shared" ref="AH87:AH102" si="131">AH86</f>
        <v>0</v>
      </c>
      <c r="AI87" s="266">
        <f t="shared" si="129"/>
        <v>0</v>
      </c>
      <c r="AJ87" s="266">
        <f t="shared" si="125"/>
        <v>0</v>
      </c>
      <c r="AK87" s="266">
        <f t="shared" si="125"/>
        <v>0</v>
      </c>
      <c r="AL87" s="266">
        <f t="shared" si="123"/>
        <v>1</v>
      </c>
      <c r="AM87" s="266">
        <f>AM86</f>
        <v>1</v>
      </c>
      <c r="AN87" s="266">
        <f t="shared" si="121"/>
        <v>1</v>
      </c>
      <c r="AO87" s="266">
        <f t="shared" si="121"/>
        <v>1</v>
      </c>
      <c r="AP87" s="266">
        <f t="shared" si="121"/>
        <v>1</v>
      </c>
      <c r="AQ87" s="266">
        <f t="shared" si="121"/>
        <v>1</v>
      </c>
      <c r="AR87" s="266">
        <f t="shared" si="121"/>
        <v>1</v>
      </c>
      <c r="AS87" s="266">
        <f t="shared" si="121"/>
        <v>2</v>
      </c>
      <c r="AT87" s="266">
        <f t="shared" si="121"/>
        <v>2</v>
      </c>
      <c r="AU87" s="266">
        <f t="shared" si="121"/>
        <v>2</v>
      </c>
      <c r="AV87" s="266">
        <f t="shared" si="121"/>
        <v>2</v>
      </c>
      <c r="AW87" s="266">
        <f t="shared" si="121"/>
        <v>2</v>
      </c>
      <c r="AX87" s="266">
        <f t="shared" si="121"/>
        <v>2</v>
      </c>
      <c r="AY87" s="266">
        <f t="shared" si="121"/>
        <v>2</v>
      </c>
      <c r="AZ87" s="266">
        <f t="shared" si="121"/>
        <v>3</v>
      </c>
      <c r="BA87" s="266">
        <f t="shared" si="121"/>
        <v>3</v>
      </c>
      <c r="BB87" s="266">
        <f t="shared" si="121"/>
        <v>3</v>
      </c>
      <c r="BC87" s="267">
        <f t="shared" si="121"/>
        <v>3</v>
      </c>
    </row>
    <row r="88" spans="4:55" x14ac:dyDescent="0.2">
      <c r="D88" s="265">
        <f t="shared" si="50"/>
        <v>86</v>
      </c>
      <c r="E88" s="266">
        <f t="shared" si="101"/>
        <v>0</v>
      </c>
      <c r="F88" s="266">
        <f t="shared" si="102"/>
        <v>0</v>
      </c>
      <c r="G88" s="266">
        <f t="shared" si="103"/>
        <v>0</v>
      </c>
      <c r="H88" s="266">
        <f t="shared" si="104"/>
        <v>0</v>
      </c>
      <c r="I88" s="266">
        <f t="shared" si="105"/>
        <v>0</v>
      </c>
      <c r="J88" s="266">
        <f t="shared" si="106"/>
        <v>0</v>
      </c>
      <c r="K88" s="266">
        <f t="shared" si="107"/>
        <v>0</v>
      </c>
      <c r="L88" s="266">
        <f t="shared" si="108"/>
        <v>0</v>
      </c>
      <c r="M88" s="266">
        <f t="shared" si="109"/>
        <v>0</v>
      </c>
      <c r="N88" s="266">
        <f t="shared" si="110"/>
        <v>0</v>
      </c>
      <c r="O88" s="266">
        <f t="shared" si="111"/>
        <v>0</v>
      </c>
      <c r="P88" s="266">
        <f t="shared" si="112"/>
        <v>0</v>
      </c>
      <c r="Q88" s="266">
        <f t="shared" si="113"/>
        <v>0</v>
      </c>
      <c r="R88" s="266">
        <f t="shared" si="114"/>
        <v>0</v>
      </c>
      <c r="S88" s="266">
        <f t="shared" si="115"/>
        <v>0</v>
      </c>
      <c r="T88" s="266">
        <f t="shared" si="118"/>
        <v>0</v>
      </c>
      <c r="U88" s="266">
        <f t="shared" si="119"/>
        <v>0</v>
      </c>
      <c r="V88" s="266">
        <f t="shared" si="126"/>
        <v>0</v>
      </c>
      <c r="W88" s="266">
        <f t="shared" si="127"/>
        <v>0</v>
      </c>
      <c r="X88" s="266">
        <f t="shared" si="92"/>
        <v>0</v>
      </c>
      <c r="Y88" s="266">
        <f t="shared" si="93"/>
        <v>0</v>
      </c>
      <c r="Z88" s="266">
        <f t="shared" si="116"/>
        <v>0</v>
      </c>
      <c r="AA88" s="266">
        <f t="shared" si="117"/>
        <v>0</v>
      </c>
      <c r="AB88" s="266">
        <f>AB87</f>
        <v>0</v>
      </c>
      <c r="AC88" s="266">
        <f>AC87</f>
        <v>0</v>
      </c>
      <c r="AD88" s="266">
        <f>AD87</f>
        <v>0</v>
      </c>
      <c r="AE88" s="266">
        <f>AE87</f>
        <v>0</v>
      </c>
      <c r="AF88" s="266">
        <f>AF87</f>
        <v>0</v>
      </c>
      <c r="AG88" s="266">
        <f t="shared" ref="AG88:AG102" si="132">AG87</f>
        <v>0</v>
      </c>
      <c r="AH88" s="266">
        <f t="shared" si="131"/>
        <v>0</v>
      </c>
      <c r="AI88" s="266">
        <f t="shared" si="129"/>
        <v>0</v>
      </c>
      <c r="AJ88" s="266">
        <f t="shared" si="125"/>
        <v>0</v>
      </c>
      <c r="AK88" s="266">
        <f t="shared" si="125"/>
        <v>0</v>
      </c>
      <c r="AL88" s="266">
        <f t="shared" si="123"/>
        <v>1</v>
      </c>
      <c r="AM88" s="266">
        <f>AM87</f>
        <v>1</v>
      </c>
      <c r="AN88" s="266">
        <f t="shared" si="121"/>
        <v>1</v>
      </c>
      <c r="AO88" s="266">
        <f t="shared" si="121"/>
        <v>1</v>
      </c>
      <c r="AP88" s="266">
        <f t="shared" si="121"/>
        <v>1</v>
      </c>
      <c r="AQ88" s="266">
        <f t="shared" si="121"/>
        <v>1</v>
      </c>
      <c r="AR88" s="266">
        <f t="shared" si="121"/>
        <v>1</v>
      </c>
      <c r="AS88" s="266">
        <f t="shared" si="121"/>
        <v>2</v>
      </c>
      <c r="AT88" s="266">
        <f t="shared" si="121"/>
        <v>2</v>
      </c>
      <c r="AU88" s="266">
        <f t="shared" si="121"/>
        <v>2</v>
      </c>
      <c r="AV88" s="266">
        <f t="shared" si="121"/>
        <v>2</v>
      </c>
      <c r="AW88" s="266">
        <f t="shared" si="121"/>
        <v>2</v>
      </c>
      <c r="AX88" s="266">
        <f t="shared" si="121"/>
        <v>2</v>
      </c>
      <c r="AY88" s="266">
        <f t="shared" si="121"/>
        <v>2</v>
      </c>
      <c r="AZ88" s="266">
        <f t="shared" si="121"/>
        <v>3</v>
      </c>
      <c r="BA88" s="266">
        <f t="shared" si="121"/>
        <v>3</v>
      </c>
      <c r="BB88" s="266">
        <f t="shared" si="121"/>
        <v>3</v>
      </c>
      <c r="BC88" s="267">
        <f t="shared" si="121"/>
        <v>3</v>
      </c>
    </row>
    <row r="89" spans="4:55" x14ac:dyDescent="0.2">
      <c r="D89" s="265">
        <f t="shared" si="50"/>
        <v>87</v>
      </c>
      <c r="E89" s="266">
        <f t="shared" si="101"/>
        <v>0</v>
      </c>
      <c r="F89" s="266">
        <f t="shared" si="102"/>
        <v>0</v>
      </c>
      <c r="G89" s="266">
        <f t="shared" si="103"/>
        <v>0</v>
      </c>
      <c r="H89" s="266">
        <f t="shared" si="104"/>
        <v>0</v>
      </c>
      <c r="I89" s="266">
        <f t="shared" si="105"/>
        <v>0</v>
      </c>
      <c r="J89" s="266">
        <f t="shared" si="106"/>
        <v>0</v>
      </c>
      <c r="K89" s="266">
        <f t="shared" si="107"/>
        <v>0</v>
      </c>
      <c r="L89" s="266">
        <f t="shared" si="108"/>
        <v>0</v>
      </c>
      <c r="M89" s="266">
        <f t="shared" si="109"/>
        <v>0</v>
      </c>
      <c r="N89" s="266">
        <f t="shared" si="110"/>
        <v>0</v>
      </c>
      <c r="O89" s="266">
        <f t="shared" si="111"/>
        <v>0</v>
      </c>
      <c r="P89" s="266">
        <f t="shared" si="112"/>
        <v>0</v>
      </c>
      <c r="Q89" s="266">
        <f t="shared" si="113"/>
        <v>0</v>
      </c>
      <c r="R89" s="266">
        <f t="shared" si="114"/>
        <v>0</v>
      </c>
      <c r="S89" s="266">
        <f t="shared" si="115"/>
        <v>0</v>
      </c>
      <c r="T89" s="266">
        <f t="shared" si="118"/>
        <v>0</v>
      </c>
      <c r="U89" s="266">
        <f t="shared" si="119"/>
        <v>0</v>
      </c>
      <c r="V89" s="266">
        <f t="shared" si="126"/>
        <v>0</v>
      </c>
      <c r="W89" s="266">
        <f t="shared" si="127"/>
        <v>0</v>
      </c>
      <c r="X89" s="266">
        <f t="shared" si="92"/>
        <v>0</v>
      </c>
      <c r="Y89" s="266">
        <f t="shared" si="93"/>
        <v>0</v>
      </c>
      <c r="Z89" s="266">
        <f t="shared" si="116"/>
        <v>0</v>
      </c>
      <c r="AA89" s="266">
        <f t="shared" si="117"/>
        <v>0</v>
      </c>
      <c r="AB89" s="266">
        <f>AB88</f>
        <v>0</v>
      </c>
      <c r="AC89" s="266">
        <f>AC88</f>
        <v>0</v>
      </c>
      <c r="AD89" s="266">
        <f>AD88</f>
        <v>0</v>
      </c>
      <c r="AE89" s="266">
        <f>AE88</f>
        <v>0</v>
      </c>
      <c r="AF89" s="266">
        <f t="shared" ref="AF89:AF102" si="133">AF88</f>
        <v>0</v>
      </c>
      <c r="AG89" s="266">
        <f t="shared" si="132"/>
        <v>0</v>
      </c>
      <c r="AH89" s="266">
        <f t="shared" si="131"/>
        <v>0</v>
      </c>
      <c r="AI89" s="266">
        <f t="shared" si="129"/>
        <v>0</v>
      </c>
      <c r="AJ89" s="266">
        <f t="shared" si="125"/>
        <v>0</v>
      </c>
      <c r="AK89" s="266">
        <f t="shared" si="125"/>
        <v>0</v>
      </c>
      <c r="AL89" s="21">
        <v>0</v>
      </c>
      <c r="AM89" s="21">
        <v>0</v>
      </c>
      <c r="AN89" s="21">
        <v>1</v>
      </c>
      <c r="AO89" s="21">
        <v>1</v>
      </c>
      <c r="AP89" s="21">
        <v>1</v>
      </c>
      <c r="AQ89" s="21">
        <v>1</v>
      </c>
      <c r="AR89" s="21">
        <v>1</v>
      </c>
      <c r="AS89" s="21">
        <v>1</v>
      </c>
      <c r="AT89" s="21">
        <v>1</v>
      </c>
      <c r="AU89" s="21">
        <v>2</v>
      </c>
      <c r="AV89" s="21">
        <v>2</v>
      </c>
      <c r="AW89" s="21">
        <v>2</v>
      </c>
      <c r="AX89" s="21">
        <v>2</v>
      </c>
      <c r="AY89" s="21">
        <v>2</v>
      </c>
      <c r="AZ89" s="21">
        <v>2</v>
      </c>
      <c r="BA89" s="21">
        <v>2</v>
      </c>
      <c r="BB89" s="21">
        <v>3</v>
      </c>
      <c r="BC89" s="268">
        <v>3</v>
      </c>
    </row>
    <row r="90" spans="4:55" x14ac:dyDescent="0.2">
      <c r="D90" s="265">
        <f t="shared" si="50"/>
        <v>88</v>
      </c>
      <c r="E90" s="266">
        <f t="shared" si="101"/>
        <v>0</v>
      </c>
      <c r="F90" s="266">
        <f t="shared" si="102"/>
        <v>0</v>
      </c>
      <c r="G90" s="266">
        <f t="shared" si="103"/>
        <v>0</v>
      </c>
      <c r="H90" s="266">
        <f t="shared" si="104"/>
        <v>0</v>
      </c>
      <c r="I90" s="266">
        <f t="shared" si="105"/>
        <v>0</v>
      </c>
      <c r="J90" s="266">
        <f t="shared" si="106"/>
        <v>0</v>
      </c>
      <c r="K90" s="266">
        <f t="shared" si="107"/>
        <v>0</v>
      </c>
      <c r="L90" s="266">
        <f t="shared" si="108"/>
        <v>0</v>
      </c>
      <c r="M90" s="266">
        <f t="shared" si="109"/>
        <v>0</v>
      </c>
      <c r="N90" s="266">
        <f t="shared" si="110"/>
        <v>0</v>
      </c>
      <c r="O90" s="266">
        <f t="shared" si="111"/>
        <v>0</v>
      </c>
      <c r="P90" s="266">
        <f t="shared" si="112"/>
        <v>0</v>
      </c>
      <c r="Q90" s="266">
        <f t="shared" si="113"/>
        <v>0</v>
      </c>
      <c r="R90" s="266">
        <f t="shared" si="114"/>
        <v>0</v>
      </c>
      <c r="S90" s="266">
        <f t="shared" si="115"/>
        <v>0</v>
      </c>
      <c r="T90" s="266">
        <f t="shared" si="118"/>
        <v>0</v>
      </c>
      <c r="U90" s="266">
        <f t="shared" si="119"/>
        <v>0</v>
      </c>
      <c r="V90" s="266">
        <f t="shared" si="126"/>
        <v>0</v>
      </c>
      <c r="W90" s="266">
        <f t="shared" si="127"/>
        <v>0</v>
      </c>
      <c r="X90" s="266">
        <f t="shared" si="92"/>
        <v>0</v>
      </c>
      <c r="Y90" s="266">
        <f t="shared" si="93"/>
        <v>0</v>
      </c>
      <c r="Z90" s="266">
        <f t="shared" si="116"/>
        <v>0</v>
      </c>
      <c r="AA90" s="266">
        <f t="shared" si="117"/>
        <v>0</v>
      </c>
      <c r="AB90" s="266">
        <f>AB89</f>
        <v>0</v>
      </c>
      <c r="AC90" s="266">
        <f>AC89</f>
        <v>0</v>
      </c>
      <c r="AD90" s="266">
        <f>AD89</f>
        <v>0</v>
      </c>
      <c r="AE90" s="266">
        <f t="shared" ref="AE90:AE102" si="134">AE89</f>
        <v>0</v>
      </c>
      <c r="AF90" s="266">
        <f t="shared" si="133"/>
        <v>0</v>
      </c>
      <c r="AG90" s="266">
        <f t="shared" si="132"/>
        <v>0</v>
      </c>
      <c r="AH90" s="266">
        <f t="shared" si="131"/>
        <v>0</v>
      </c>
      <c r="AI90" s="266">
        <f t="shared" si="129"/>
        <v>0</v>
      </c>
      <c r="AJ90" s="266">
        <f t="shared" si="125"/>
        <v>0</v>
      </c>
      <c r="AK90" s="266">
        <f t="shared" si="125"/>
        <v>0</v>
      </c>
      <c r="AL90" s="266">
        <f t="shared" si="123"/>
        <v>0</v>
      </c>
      <c r="AM90" s="266">
        <f t="shared" ref="AM90:AM102" si="135">AM89</f>
        <v>0</v>
      </c>
      <c r="AN90" s="266">
        <f t="shared" si="121"/>
        <v>1</v>
      </c>
      <c r="AO90" s="266">
        <f t="shared" si="121"/>
        <v>1</v>
      </c>
      <c r="AP90" s="266">
        <f t="shared" si="121"/>
        <v>1</v>
      </c>
      <c r="AQ90" s="266">
        <f t="shared" si="121"/>
        <v>1</v>
      </c>
      <c r="AR90" s="266">
        <f t="shared" si="121"/>
        <v>1</v>
      </c>
      <c r="AS90" s="266">
        <f t="shared" si="121"/>
        <v>1</v>
      </c>
      <c r="AT90" s="266">
        <f t="shared" si="121"/>
        <v>1</v>
      </c>
      <c r="AU90" s="266">
        <f t="shared" si="121"/>
        <v>2</v>
      </c>
      <c r="AV90" s="266">
        <f t="shared" si="121"/>
        <v>2</v>
      </c>
      <c r="AW90" s="266">
        <f t="shared" si="121"/>
        <v>2</v>
      </c>
      <c r="AX90" s="266">
        <f t="shared" si="121"/>
        <v>2</v>
      </c>
      <c r="AY90" s="266">
        <f t="shared" si="121"/>
        <v>2</v>
      </c>
      <c r="AZ90" s="266">
        <f t="shared" si="121"/>
        <v>2</v>
      </c>
      <c r="BA90" s="266">
        <f t="shared" si="121"/>
        <v>2</v>
      </c>
      <c r="BB90" s="266">
        <f t="shared" si="121"/>
        <v>3</v>
      </c>
      <c r="BC90" s="267">
        <f t="shared" si="121"/>
        <v>3</v>
      </c>
    </row>
    <row r="91" spans="4:55" x14ac:dyDescent="0.2">
      <c r="D91" s="265">
        <f t="shared" si="50"/>
        <v>89</v>
      </c>
      <c r="E91" s="266">
        <f t="shared" si="101"/>
        <v>0</v>
      </c>
      <c r="F91" s="266">
        <f t="shared" si="102"/>
        <v>0</v>
      </c>
      <c r="G91" s="266">
        <f t="shared" si="103"/>
        <v>0</v>
      </c>
      <c r="H91" s="266">
        <f t="shared" si="104"/>
        <v>0</v>
      </c>
      <c r="I91" s="266">
        <f t="shared" si="105"/>
        <v>0</v>
      </c>
      <c r="J91" s="266">
        <f t="shared" si="106"/>
        <v>0</v>
      </c>
      <c r="K91" s="266">
        <f t="shared" si="107"/>
        <v>0</v>
      </c>
      <c r="L91" s="266">
        <f t="shared" si="108"/>
        <v>0</v>
      </c>
      <c r="M91" s="266">
        <f t="shared" si="109"/>
        <v>0</v>
      </c>
      <c r="N91" s="266">
        <f t="shared" si="110"/>
        <v>0</v>
      </c>
      <c r="O91" s="266">
        <f t="shared" si="111"/>
        <v>0</v>
      </c>
      <c r="P91" s="266">
        <f t="shared" si="112"/>
        <v>0</v>
      </c>
      <c r="Q91" s="266">
        <f t="shared" si="113"/>
        <v>0</v>
      </c>
      <c r="R91" s="266">
        <f t="shared" si="114"/>
        <v>0</v>
      </c>
      <c r="S91" s="266">
        <f t="shared" si="115"/>
        <v>0</v>
      </c>
      <c r="T91" s="266">
        <f t="shared" si="118"/>
        <v>0</v>
      </c>
      <c r="U91" s="266">
        <f t="shared" si="119"/>
        <v>0</v>
      </c>
      <c r="V91" s="266">
        <f t="shared" si="126"/>
        <v>0</v>
      </c>
      <c r="W91" s="266">
        <f t="shared" si="127"/>
        <v>0</v>
      </c>
      <c r="X91" s="266">
        <f t="shared" si="92"/>
        <v>0</v>
      </c>
      <c r="Y91" s="266">
        <f t="shared" si="93"/>
        <v>0</v>
      </c>
      <c r="Z91" s="266">
        <f t="shared" si="116"/>
        <v>0</v>
      </c>
      <c r="AA91" s="266">
        <f t="shared" si="117"/>
        <v>0</v>
      </c>
      <c r="AB91" s="266">
        <f>AB90</f>
        <v>0</v>
      </c>
      <c r="AC91" s="266">
        <f>AC90</f>
        <v>0</v>
      </c>
      <c r="AD91" s="266">
        <f t="shared" ref="AD91:AD102" si="136">AD90</f>
        <v>0</v>
      </c>
      <c r="AE91" s="266">
        <f t="shared" si="134"/>
        <v>0</v>
      </c>
      <c r="AF91" s="266">
        <f t="shared" si="133"/>
        <v>0</v>
      </c>
      <c r="AG91" s="266">
        <f t="shared" si="132"/>
        <v>0</v>
      </c>
      <c r="AH91" s="266">
        <f t="shared" si="131"/>
        <v>0</v>
      </c>
      <c r="AI91" s="266">
        <f t="shared" si="129"/>
        <v>0</v>
      </c>
      <c r="AJ91" s="266">
        <f t="shared" si="125"/>
        <v>0</v>
      </c>
      <c r="AK91" s="266">
        <f t="shared" si="125"/>
        <v>0</v>
      </c>
      <c r="AL91" s="266">
        <f t="shared" si="123"/>
        <v>0</v>
      </c>
      <c r="AM91" s="266">
        <f t="shared" si="135"/>
        <v>0</v>
      </c>
      <c r="AN91" s="266">
        <f t="shared" si="121"/>
        <v>1</v>
      </c>
      <c r="AO91" s="266">
        <f t="shared" si="121"/>
        <v>1</v>
      </c>
      <c r="AP91" s="266">
        <f t="shared" si="121"/>
        <v>1</v>
      </c>
      <c r="AQ91" s="266">
        <f t="shared" si="121"/>
        <v>1</v>
      </c>
      <c r="AR91" s="266">
        <f t="shared" si="121"/>
        <v>1</v>
      </c>
      <c r="AS91" s="266">
        <f t="shared" si="121"/>
        <v>1</v>
      </c>
      <c r="AT91" s="266">
        <f t="shared" si="121"/>
        <v>1</v>
      </c>
      <c r="AU91" s="266">
        <f t="shared" si="121"/>
        <v>2</v>
      </c>
      <c r="AV91" s="266">
        <f t="shared" si="121"/>
        <v>2</v>
      </c>
      <c r="AW91" s="266">
        <f t="shared" si="121"/>
        <v>2</v>
      </c>
      <c r="AX91" s="266">
        <f t="shared" si="121"/>
        <v>2</v>
      </c>
      <c r="AY91" s="266">
        <f t="shared" si="121"/>
        <v>2</v>
      </c>
      <c r="AZ91" s="266">
        <f t="shared" si="121"/>
        <v>2</v>
      </c>
      <c r="BA91" s="266">
        <f t="shared" si="121"/>
        <v>2</v>
      </c>
      <c r="BB91" s="266">
        <f t="shared" si="121"/>
        <v>3</v>
      </c>
      <c r="BC91" s="267">
        <f t="shared" si="121"/>
        <v>3</v>
      </c>
    </row>
    <row r="92" spans="4:55" x14ac:dyDescent="0.2">
      <c r="D92" s="265">
        <f t="shared" si="50"/>
        <v>90</v>
      </c>
      <c r="E92" s="266">
        <f t="shared" si="101"/>
        <v>0</v>
      </c>
      <c r="F92" s="266">
        <f t="shared" si="102"/>
        <v>0</v>
      </c>
      <c r="G92" s="266">
        <f t="shared" si="103"/>
        <v>0</v>
      </c>
      <c r="H92" s="266">
        <f t="shared" si="104"/>
        <v>0</v>
      </c>
      <c r="I92" s="266">
        <f t="shared" si="105"/>
        <v>0</v>
      </c>
      <c r="J92" s="266">
        <f t="shared" si="106"/>
        <v>0</v>
      </c>
      <c r="K92" s="266">
        <f t="shared" si="107"/>
        <v>0</v>
      </c>
      <c r="L92" s="266">
        <f t="shared" si="108"/>
        <v>0</v>
      </c>
      <c r="M92" s="266">
        <f t="shared" si="109"/>
        <v>0</v>
      </c>
      <c r="N92" s="266">
        <f t="shared" si="110"/>
        <v>0</v>
      </c>
      <c r="O92" s="266">
        <f t="shared" si="111"/>
        <v>0</v>
      </c>
      <c r="P92" s="266">
        <f t="shared" si="112"/>
        <v>0</v>
      </c>
      <c r="Q92" s="266">
        <f t="shared" si="113"/>
        <v>0</v>
      </c>
      <c r="R92" s="266">
        <f t="shared" si="114"/>
        <v>0</v>
      </c>
      <c r="S92" s="266">
        <f t="shared" si="115"/>
        <v>0</v>
      </c>
      <c r="T92" s="266">
        <f t="shared" si="118"/>
        <v>0</v>
      </c>
      <c r="U92" s="266">
        <f t="shared" si="119"/>
        <v>0</v>
      </c>
      <c r="V92" s="266">
        <f t="shared" si="126"/>
        <v>0</v>
      </c>
      <c r="W92" s="266">
        <f t="shared" si="127"/>
        <v>0</v>
      </c>
      <c r="X92" s="266">
        <f t="shared" si="92"/>
        <v>0</v>
      </c>
      <c r="Y92" s="266">
        <f t="shared" si="93"/>
        <v>0</v>
      </c>
      <c r="Z92" s="266">
        <f t="shared" si="116"/>
        <v>0</v>
      </c>
      <c r="AA92" s="266">
        <f t="shared" si="117"/>
        <v>0</v>
      </c>
      <c r="AB92" s="266">
        <f>AB91</f>
        <v>0</v>
      </c>
      <c r="AC92" s="266">
        <f t="shared" ref="AC92:AC102" si="137">AC91</f>
        <v>0</v>
      </c>
      <c r="AD92" s="266">
        <f t="shared" si="136"/>
        <v>0</v>
      </c>
      <c r="AE92" s="266">
        <f t="shared" si="134"/>
        <v>0</v>
      </c>
      <c r="AF92" s="266">
        <f t="shared" si="133"/>
        <v>0</v>
      </c>
      <c r="AG92" s="266">
        <f t="shared" si="132"/>
        <v>0</v>
      </c>
      <c r="AH92" s="266">
        <f t="shared" si="131"/>
        <v>0</v>
      </c>
      <c r="AI92" s="266">
        <f t="shared" si="129"/>
        <v>0</v>
      </c>
      <c r="AJ92" s="266">
        <f t="shared" si="125"/>
        <v>0</v>
      </c>
      <c r="AK92" s="266">
        <f t="shared" si="125"/>
        <v>0</v>
      </c>
      <c r="AL92" s="266">
        <f t="shared" si="123"/>
        <v>0</v>
      </c>
      <c r="AM92" s="266">
        <f t="shared" si="135"/>
        <v>0</v>
      </c>
      <c r="AN92" s="266">
        <f t="shared" si="121"/>
        <v>1</v>
      </c>
      <c r="AO92" s="266">
        <f t="shared" si="121"/>
        <v>1</v>
      </c>
      <c r="AP92" s="266">
        <f t="shared" si="121"/>
        <v>1</v>
      </c>
      <c r="AQ92" s="266">
        <f t="shared" si="121"/>
        <v>1</v>
      </c>
      <c r="AR92" s="266">
        <f t="shared" si="121"/>
        <v>1</v>
      </c>
      <c r="AS92" s="266">
        <f t="shared" si="121"/>
        <v>1</v>
      </c>
      <c r="AT92" s="266">
        <f t="shared" si="121"/>
        <v>1</v>
      </c>
      <c r="AU92" s="266">
        <f t="shared" si="121"/>
        <v>2</v>
      </c>
      <c r="AV92" s="266">
        <f t="shared" si="121"/>
        <v>2</v>
      </c>
      <c r="AW92" s="266">
        <f t="shared" si="121"/>
        <v>2</v>
      </c>
      <c r="AX92" s="266">
        <f t="shared" si="121"/>
        <v>2</v>
      </c>
      <c r="AY92" s="266">
        <f t="shared" si="121"/>
        <v>2</v>
      </c>
      <c r="AZ92" s="266">
        <f t="shared" si="121"/>
        <v>2</v>
      </c>
      <c r="BA92" s="266">
        <f t="shared" si="121"/>
        <v>2</v>
      </c>
      <c r="BB92" s="266">
        <f t="shared" si="121"/>
        <v>3</v>
      </c>
      <c r="BC92" s="267">
        <f t="shared" si="121"/>
        <v>3</v>
      </c>
    </row>
    <row r="93" spans="4:55" x14ac:dyDescent="0.2">
      <c r="D93" s="265">
        <f t="shared" si="50"/>
        <v>91</v>
      </c>
      <c r="E93" s="266">
        <f t="shared" si="101"/>
        <v>0</v>
      </c>
      <c r="F93" s="266">
        <f t="shared" si="102"/>
        <v>0</v>
      </c>
      <c r="G93" s="266">
        <f t="shared" si="103"/>
        <v>0</v>
      </c>
      <c r="H93" s="266">
        <f t="shared" si="104"/>
        <v>0</v>
      </c>
      <c r="I93" s="266">
        <f t="shared" si="105"/>
        <v>0</v>
      </c>
      <c r="J93" s="266">
        <f t="shared" si="106"/>
        <v>0</v>
      </c>
      <c r="K93" s="266">
        <f t="shared" si="107"/>
        <v>0</v>
      </c>
      <c r="L93" s="266">
        <f t="shared" si="108"/>
        <v>0</v>
      </c>
      <c r="M93" s="266">
        <f t="shared" si="109"/>
        <v>0</v>
      </c>
      <c r="N93" s="266">
        <f t="shared" si="110"/>
        <v>0</v>
      </c>
      <c r="O93" s="266">
        <f t="shared" si="111"/>
        <v>0</v>
      </c>
      <c r="P93" s="266">
        <f t="shared" si="112"/>
        <v>0</v>
      </c>
      <c r="Q93" s="266">
        <f t="shared" si="113"/>
        <v>0</v>
      </c>
      <c r="R93" s="266">
        <f t="shared" si="114"/>
        <v>0</v>
      </c>
      <c r="S93" s="266">
        <f t="shared" si="115"/>
        <v>0</v>
      </c>
      <c r="T93" s="266">
        <f t="shared" si="118"/>
        <v>0</v>
      </c>
      <c r="U93" s="266">
        <f t="shared" si="119"/>
        <v>0</v>
      </c>
      <c r="V93" s="266">
        <f t="shared" si="126"/>
        <v>0</v>
      </c>
      <c r="W93" s="266">
        <f t="shared" si="127"/>
        <v>0</v>
      </c>
      <c r="X93" s="266">
        <f t="shared" si="92"/>
        <v>0</v>
      </c>
      <c r="Y93" s="266">
        <f t="shared" si="93"/>
        <v>0</v>
      </c>
      <c r="Z93" s="266">
        <f t="shared" si="116"/>
        <v>0</v>
      </c>
      <c r="AA93" s="266">
        <f t="shared" si="117"/>
        <v>0</v>
      </c>
      <c r="AB93" s="266">
        <f t="shared" ref="AB93:AB102" si="138">AB92</f>
        <v>0</v>
      </c>
      <c r="AC93" s="266">
        <f t="shared" si="137"/>
        <v>0</v>
      </c>
      <c r="AD93" s="266">
        <f t="shared" si="136"/>
        <v>0</v>
      </c>
      <c r="AE93" s="266">
        <f t="shared" si="134"/>
        <v>0</v>
      </c>
      <c r="AF93" s="266">
        <f t="shared" si="133"/>
        <v>0</v>
      </c>
      <c r="AG93" s="266">
        <f t="shared" si="132"/>
        <v>0</v>
      </c>
      <c r="AH93" s="266">
        <f t="shared" si="131"/>
        <v>0</v>
      </c>
      <c r="AI93" s="266">
        <f t="shared" si="129"/>
        <v>0</v>
      </c>
      <c r="AJ93" s="266">
        <f t="shared" si="125"/>
        <v>0</v>
      </c>
      <c r="AK93" s="266">
        <f t="shared" si="125"/>
        <v>0</v>
      </c>
      <c r="AL93" s="266">
        <f t="shared" si="123"/>
        <v>0</v>
      </c>
      <c r="AM93" s="266">
        <f t="shared" si="135"/>
        <v>0</v>
      </c>
      <c r="AN93" s="266">
        <f t="shared" si="121"/>
        <v>1</v>
      </c>
      <c r="AO93" s="266">
        <f t="shared" si="121"/>
        <v>1</v>
      </c>
      <c r="AP93" s="266">
        <f t="shared" si="121"/>
        <v>1</v>
      </c>
      <c r="AQ93" s="266">
        <f t="shared" si="121"/>
        <v>1</v>
      </c>
      <c r="AR93" s="266">
        <f t="shared" si="121"/>
        <v>1</v>
      </c>
      <c r="AS93" s="266">
        <f t="shared" si="121"/>
        <v>1</v>
      </c>
      <c r="AT93" s="266">
        <f t="shared" si="121"/>
        <v>1</v>
      </c>
      <c r="AU93" s="266">
        <f t="shared" si="121"/>
        <v>2</v>
      </c>
      <c r="AV93" s="266">
        <f t="shared" si="121"/>
        <v>2</v>
      </c>
      <c r="AW93" s="266">
        <f t="shared" si="121"/>
        <v>2</v>
      </c>
      <c r="AX93" s="266">
        <f t="shared" si="121"/>
        <v>2</v>
      </c>
      <c r="AY93" s="266">
        <f t="shared" si="121"/>
        <v>2</v>
      </c>
      <c r="AZ93" s="266">
        <f t="shared" si="121"/>
        <v>2</v>
      </c>
      <c r="BA93" s="266">
        <f t="shared" si="121"/>
        <v>2</v>
      </c>
      <c r="BB93" s="266">
        <f t="shared" si="121"/>
        <v>3</v>
      </c>
      <c r="BC93" s="267">
        <f t="shared" si="121"/>
        <v>3</v>
      </c>
    </row>
    <row r="94" spans="4:55" x14ac:dyDescent="0.2">
      <c r="D94" s="265">
        <f t="shared" si="50"/>
        <v>92</v>
      </c>
      <c r="E94" s="266">
        <f t="shared" si="101"/>
        <v>0</v>
      </c>
      <c r="F94" s="266">
        <f t="shared" si="102"/>
        <v>0</v>
      </c>
      <c r="G94" s="266">
        <f t="shared" si="103"/>
        <v>0</v>
      </c>
      <c r="H94" s="266">
        <f t="shared" si="104"/>
        <v>0</v>
      </c>
      <c r="I94" s="266">
        <f t="shared" si="105"/>
        <v>0</v>
      </c>
      <c r="J94" s="266">
        <f t="shared" si="106"/>
        <v>0</v>
      </c>
      <c r="K94" s="266">
        <f t="shared" si="107"/>
        <v>0</v>
      </c>
      <c r="L94" s="266">
        <f t="shared" si="108"/>
        <v>0</v>
      </c>
      <c r="M94" s="266">
        <f t="shared" si="109"/>
        <v>0</v>
      </c>
      <c r="N94" s="266">
        <f t="shared" si="110"/>
        <v>0</v>
      </c>
      <c r="O94" s="266">
        <f t="shared" si="111"/>
        <v>0</v>
      </c>
      <c r="P94" s="266">
        <f t="shared" si="112"/>
        <v>0</v>
      </c>
      <c r="Q94" s="266">
        <f t="shared" si="113"/>
        <v>0</v>
      </c>
      <c r="R94" s="266">
        <f t="shared" si="114"/>
        <v>0</v>
      </c>
      <c r="S94" s="266">
        <f t="shared" si="115"/>
        <v>0</v>
      </c>
      <c r="T94" s="266">
        <f t="shared" si="118"/>
        <v>0</v>
      </c>
      <c r="U94" s="266">
        <f t="shared" si="119"/>
        <v>0</v>
      </c>
      <c r="V94" s="266">
        <f t="shared" si="126"/>
        <v>0</v>
      </c>
      <c r="W94" s="266">
        <f t="shared" si="127"/>
        <v>0</v>
      </c>
      <c r="X94" s="266">
        <f t="shared" si="92"/>
        <v>0</v>
      </c>
      <c r="Y94" s="266">
        <f t="shared" si="93"/>
        <v>0</v>
      </c>
      <c r="Z94" s="266">
        <f>Z93</f>
        <v>0</v>
      </c>
      <c r="AA94" s="266">
        <f t="shared" ref="AA94:AA102" si="139">AA93</f>
        <v>0</v>
      </c>
      <c r="AB94" s="266">
        <f t="shared" si="138"/>
        <v>0</v>
      </c>
      <c r="AC94" s="266">
        <f t="shared" si="137"/>
        <v>0</v>
      </c>
      <c r="AD94" s="266">
        <f t="shared" si="136"/>
        <v>0</v>
      </c>
      <c r="AE94" s="266">
        <f t="shared" si="134"/>
        <v>0</v>
      </c>
      <c r="AF94" s="266">
        <f t="shared" si="133"/>
        <v>0</v>
      </c>
      <c r="AG94" s="266">
        <f t="shared" si="132"/>
        <v>0</v>
      </c>
      <c r="AH94" s="266">
        <f t="shared" si="131"/>
        <v>0</v>
      </c>
      <c r="AI94" s="266">
        <f t="shared" si="129"/>
        <v>0</v>
      </c>
      <c r="AJ94" s="266">
        <f t="shared" si="125"/>
        <v>0</v>
      </c>
      <c r="AK94" s="266">
        <f t="shared" si="125"/>
        <v>0</v>
      </c>
      <c r="AL94" s="266">
        <f t="shared" si="123"/>
        <v>0</v>
      </c>
      <c r="AM94" s="266">
        <f t="shared" si="135"/>
        <v>0</v>
      </c>
      <c r="AN94" s="21">
        <v>0</v>
      </c>
      <c r="AO94" s="21">
        <v>0</v>
      </c>
      <c r="AP94" s="21">
        <v>1</v>
      </c>
      <c r="AQ94" s="21">
        <v>1</v>
      </c>
      <c r="AR94" s="21">
        <v>1</v>
      </c>
      <c r="AS94" s="21">
        <v>1</v>
      </c>
      <c r="AT94" s="21">
        <v>1</v>
      </c>
      <c r="AU94" s="21">
        <v>1</v>
      </c>
      <c r="AV94" s="21">
        <v>1</v>
      </c>
      <c r="AW94" s="21">
        <v>2</v>
      </c>
      <c r="AX94" s="21">
        <v>2</v>
      </c>
      <c r="AY94" s="21">
        <v>2</v>
      </c>
      <c r="AZ94" s="21">
        <v>2</v>
      </c>
      <c r="BA94" s="21">
        <v>2</v>
      </c>
      <c r="BB94" s="21">
        <v>2</v>
      </c>
      <c r="BC94" s="268">
        <v>2</v>
      </c>
    </row>
    <row r="95" spans="4:55" x14ac:dyDescent="0.2">
      <c r="D95" s="265">
        <f t="shared" si="50"/>
        <v>93</v>
      </c>
      <c r="E95" s="266">
        <f t="shared" si="101"/>
        <v>0</v>
      </c>
      <c r="F95" s="266">
        <f t="shared" si="102"/>
        <v>0</v>
      </c>
      <c r="G95" s="266">
        <f t="shared" si="103"/>
        <v>0</v>
      </c>
      <c r="H95" s="266">
        <f t="shared" si="104"/>
        <v>0</v>
      </c>
      <c r="I95" s="266">
        <f t="shared" si="105"/>
        <v>0</v>
      </c>
      <c r="J95" s="266">
        <f t="shared" si="106"/>
        <v>0</v>
      </c>
      <c r="K95" s="266">
        <f t="shared" si="107"/>
        <v>0</v>
      </c>
      <c r="L95" s="266">
        <f t="shared" si="108"/>
        <v>0</v>
      </c>
      <c r="M95" s="266">
        <f t="shared" si="109"/>
        <v>0</v>
      </c>
      <c r="N95" s="266">
        <f t="shared" si="110"/>
        <v>0</v>
      </c>
      <c r="O95" s="266">
        <f t="shared" si="111"/>
        <v>0</v>
      </c>
      <c r="P95" s="266">
        <f t="shared" si="112"/>
        <v>0</v>
      </c>
      <c r="Q95" s="266">
        <f t="shared" si="113"/>
        <v>0</v>
      </c>
      <c r="R95" s="266">
        <f t="shared" si="114"/>
        <v>0</v>
      </c>
      <c r="S95" s="266">
        <f t="shared" si="115"/>
        <v>0</v>
      </c>
      <c r="T95" s="266">
        <f t="shared" si="118"/>
        <v>0</v>
      </c>
      <c r="U95" s="266">
        <f t="shared" si="119"/>
        <v>0</v>
      </c>
      <c r="V95" s="266">
        <f t="shared" si="126"/>
        <v>0</v>
      </c>
      <c r="W95" s="266">
        <f t="shared" si="127"/>
        <v>0</v>
      </c>
      <c r="X95" s="266">
        <f t="shared" si="92"/>
        <v>0</v>
      </c>
      <c r="Y95" s="266">
        <f t="shared" si="93"/>
        <v>0</v>
      </c>
      <c r="Z95" s="266">
        <f t="shared" ref="Z95:Z102" si="140">Z94</f>
        <v>0</v>
      </c>
      <c r="AA95" s="266">
        <f t="shared" si="139"/>
        <v>0</v>
      </c>
      <c r="AB95" s="266">
        <f t="shared" si="138"/>
        <v>0</v>
      </c>
      <c r="AC95" s="266">
        <f t="shared" si="137"/>
        <v>0</v>
      </c>
      <c r="AD95" s="266">
        <f t="shared" si="136"/>
        <v>0</v>
      </c>
      <c r="AE95" s="266">
        <f t="shared" si="134"/>
        <v>0</v>
      </c>
      <c r="AF95" s="266">
        <f t="shared" si="133"/>
        <v>0</v>
      </c>
      <c r="AG95" s="266">
        <f t="shared" si="132"/>
        <v>0</v>
      </c>
      <c r="AH95" s="266">
        <f t="shared" si="131"/>
        <v>0</v>
      </c>
      <c r="AI95" s="266">
        <f t="shared" si="129"/>
        <v>0</v>
      </c>
      <c r="AJ95" s="266">
        <f t="shared" si="125"/>
        <v>0</v>
      </c>
      <c r="AK95" s="266">
        <f t="shared" si="125"/>
        <v>0</v>
      </c>
      <c r="AL95" s="266">
        <f t="shared" si="123"/>
        <v>0</v>
      </c>
      <c r="AM95" s="266">
        <f t="shared" si="135"/>
        <v>0</v>
      </c>
      <c r="AN95" s="266">
        <f t="shared" si="121"/>
        <v>0</v>
      </c>
      <c r="AO95" s="266">
        <f t="shared" si="121"/>
        <v>0</v>
      </c>
      <c r="AP95" s="266">
        <f t="shared" si="121"/>
        <v>1</v>
      </c>
      <c r="AQ95" s="266">
        <f t="shared" si="121"/>
        <v>1</v>
      </c>
      <c r="AR95" s="266">
        <f t="shared" si="121"/>
        <v>1</v>
      </c>
      <c r="AS95" s="266">
        <f t="shared" si="121"/>
        <v>1</v>
      </c>
      <c r="AT95" s="266">
        <f t="shared" si="121"/>
        <v>1</v>
      </c>
      <c r="AU95" s="266">
        <f t="shared" si="121"/>
        <v>1</v>
      </c>
      <c r="AV95" s="266">
        <f t="shared" si="121"/>
        <v>1</v>
      </c>
      <c r="AW95" s="266">
        <f t="shared" si="121"/>
        <v>2</v>
      </c>
      <c r="AX95" s="266">
        <f t="shared" si="121"/>
        <v>2</v>
      </c>
      <c r="AY95" s="266">
        <f t="shared" si="121"/>
        <v>2</v>
      </c>
      <c r="AZ95" s="266">
        <f t="shared" si="121"/>
        <v>2</v>
      </c>
      <c r="BA95" s="266">
        <f t="shared" si="121"/>
        <v>2</v>
      </c>
      <c r="BB95" s="266">
        <f t="shared" si="121"/>
        <v>2</v>
      </c>
      <c r="BC95" s="267">
        <f t="shared" si="121"/>
        <v>2</v>
      </c>
    </row>
    <row r="96" spans="4:55" x14ac:dyDescent="0.2">
      <c r="D96" s="265">
        <f t="shared" si="50"/>
        <v>94</v>
      </c>
      <c r="E96" s="266">
        <f t="shared" si="101"/>
        <v>0</v>
      </c>
      <c r="F96" s="266">
        <f t="shared" si="102"/>
        <v>0</v>
      </c>
      <c r="G96" s="266">
        <f t="shared" si="103"/>
        <v>0</v>
      </c>
      <c r="H96" s="266">
        <f t="shared" si="104"/>
        <v>0</v>
      </c>
      <c r="I96" s="266">
        <f t="shared" si="105"/>
        <v>0</v>
      </c>
      <c r="J96" s="266">
        <f t="shared" si="106"/>
        <v>0</v>
      </c>
      <c r="K96" s="266">
        <f t="shared" si="107"/>
        <v>0</v>
      </c>
      <c r="L96" s="266">
        <f t="shared" si="108"/>
        <v>0</v>
      </c>
      <c r="M96" s="266">
        <f t="shared" si="109"/>
        <v>0</v>
      </c>
      <c r="N96" s="266">
        <f t="shared" si="110"/>
        <v>0</v>
      </c>
      <c r="O96" s="266">
        <f t="shared" si="111"/>
        <v>0</v>
      </c>
      <c r="P96" s="266">
        <f t="shared" si="112"/>
        <v>0</v>
      </c>
      <c r="Q96" s="266">
        <f t="shared" si="113"/>
        <v>0</v>
      </c>
      <c r="R96" s="266">
        <f t="shared" si="114"/>
        <v>0</v>
      </c>
      <c r="S96" s="266">
        <f t="shared" si="115"/>
        <v>0</v>
      </c>
      <c r="T96" s="266">
        <f t="shared" si="118"/>
        <v>0</v>
      </c>
      <c r="U96" s="266">
        <f t="shared" si="119"/>
        <v>0</v>
      </c>
      <c r="V96" s="266">
        <f t="shared" si="126"/>
        <v>0</v>
      </c>
      <c r="W96" s="266">
        <f t="shared" si="127"/>
        <v>0</v>
      </c>
      <c r="X96" s="266">
        <f>X95</f>
        <v>0</v>
      </c>
      <c r="Y96" s="266">
        <f t="shared" ref="Y96:Y102" si="141">Y95</f>
        <v>0</v>
      </c>
      <c r="Z96" s="266">
        <f t="shared" si="140"/>
        <v>0</v>
      </c>
      <c r="AA96" s="266">
        <f t="shared" si="139"/>
        <v>0</v>
      </c>
      <c r="AB96" s="266">
        <f t="shared" si="138"/>
        <v>0</v>
      </c>
      <c r="AC96" s="266">
        <f t="shared" si="137"/>
        <v>0</v>
      </c>
      <c r="AD96" s="266">
        <f t="shared" si="136"/>
        <v>0</v>
      </c>
      <c r="AE96" s="266">
        <f t="shared" si="134"/>
        <v>0</v>
      </c>
      <c r="AF96" s="266">
        <f t="shared" si="133"/>
        <v>0</v>
      </c>
      <c r="AG96" s="266">
        <f t="shared" si="132"/>
        <v>0</v>
      </c>
      <c r="AH96" s="266">
        <f t="shared" si="131"/>
        <v>0</v>
      </c>
      <c r="AI96" s="266">
        <f t="shared" si="129"/>
        <v>0</v>
      </c>
      <c r="AJ96" s="266">
        <f t="shared" si="125"/>
        <v>0</v>
      </c>
      <c r="AK96" s="266">
        <f t="shared" si="125"/>
        <v>0</v>
      </c>
      <c r="AL96" s="266">
        <f t="shared" si="123"/>
        <v>0</v>
      </c>
      <c r="AM96" s="266">
        <f t="shared" si="135"/>
        <v>0</v>
      </c>
      <c r="AN96" s="266">
        <f t="shared" si="121"/>
        <v>0</v>
      </c>
      <c r="AO96" s="266">
        <f t="shared" si="121"/>
        <v>0</v>
      </c>
      <c r="AP96" s="266">
        <f t="shared" si="121"/>
        <v>1</v>
      </c>
      <c r="AQ96" s="266">
        <f t="shared" si="121"/>
        <v>1</v>
      </c>
      <c r="AR96" s="266">
        <f t="shared" si="121"/>
        <v>1</v>
      </c>
      <c r="AS96" s="266">
        <f t="shared" si="121"/>
        <v>1</v>
      </c>
      <c r="AT96" s="266">
        <f t="shared" si="121"/>
        <v>1</v>
      </c>
      <c r="AU96" s="266">
        <f t="shared" si="121"/>
        <v>1</v>
      </c>
      <c r="AV96" s="266">
        <f t="shared" si="121"/>
        <v>1</v>
      </c>
      <c r="AW96" s="266">
        <f t="shared" si="121"/>
        <v>2</v>
      </c>
      <c r="AX96" s="266">
        <f t="shared" si="121"/>
        <v>2</v>
      </c>
      <c r="AY96" s="266">
        <f t="shared" si="121"/>
        <v>2</v>
      </c>
      <c r="AZ96" s="266">
        <f t="shared" si="121"/>
        <v>2</v>
      </c>
      <c r="BA96" s="266">
        <f t="shared" si="121"/>
        <v>2</v>
      </c>
      <c r="BB96" s="266">
        <f t="shared" si="121"/>
        <v>2</v>
      </c>
      <c r="BC96" s="267">
        <f t="shared" si="121"/>
        <v>2</v>
      </c>
    </row>
    <row r="97" spans="4:55" x14ac:dyDescent="0.2">
      <c r="D97" s="265">
        <f t="shared" si="50"/>
        <v>95</v>
      </c>
      <c r="E97" s="266">
        <f t="shared" si="101"/>
        <v>0</v>
      </c>
      <c r="F97" s="266">
        <f t="shared" si="102"/>
        <v>0</v>
      </c>
      <c r="G97" s="266">
        <f t="shared" si="103"/>
        <v>0</v>
      </c>
      <c r="H97" s="266">
        <f t="shared" si="104"/>
        <v>0</v>
      </c>
      <c r="I97" s="266">
        <f t="shared" si="105"/>
        <v>0</v>
      </c>
      <c r="J97" s="266">
        <f t="shared" si="106"/>
        <v>0</v>
      </c>
      <c r="K97" s="266">
        <f t="shared" si="107"/>
        <v>0</v>
      </c>
      <c r="L97" s="266">
        <f t="shared" si="108"/>
        <v>0</v>
      </c>
      <c r="M97" s="266">
        <f t="shared" si="109"/>
        <v>0</v>
      </c>
      <c r="N97" s="266">
        <f t="shared" si="110"/>
        <v>0</v>
      </c>
      <c r="O97" s="266">
        <f t="shared" si="111"/>
        <v>0</v>
      </c>
      <c r="P97" s="266">
        <f t="shared" si="112"/>
        <v>0</v>
      </c>
      <c r="Q97" s="266">
        <f t="shared" si="113"/>
        <v>0</v>
      </c>
      <c r="R97" s="266">
        <f t="shared" si="114"/>
        <v>0</v>
      </c>
      <c r="S97" s="266">
        <f t="shared" si="115"/>
        <v>0</v>
      </c>
      <c r="T97" s="266">
        <f t="shared" si="118"/>
        <v>0</v>
      </c>
      <c r="U97" s="266">
        <f t="shared" si="119"/>
        <v>0</v>
      </c>
      <c r="V97" s="266">
        <f t="shared" si="126"/>
        <v>0</v>
      </c>
      <c r="W97" s="266">
        <f t="shared" si="127"/>
        <v>0</v>
      </c>
      <c r="X97" s="266">
        <f t="shared" ref="X97:X102" si="142">X96</f>
        <v>0</v>
      </c>
      <c r="Y97" s="266">
        <f t="shared" si="141"/>
        <v>0</v>
      </c>
      <c r="Z97" s="266">
        <f t="shared" si="140"/>
        <v>0</v>
      </c>
      <c r="AA97" s="266">
        <f t="shared" si="139"/>
        <v>0</v>
      </c>
      <c r="AB97" s="266">
        <f t="shared" si="138"/>
        <v>0</v>
      </c>
      <c r="AC97" s="266">
        <f t="shared" si="137"/>
        <v>0</v>
      </c>
      <c r="AD97" s="266">
        <f t="shared" si="136"/>
        <v>0</v>
      </c>
      <c r="AE97" s="266">
        <f t="shared" si="134"/>
        <v>0</v>
      </c>
      <c r="AF97" s="266">
        <f t="shared" si="133"/>
        <v>0</v>
      </c>
      <c r="AG97" s="266">
        <f t="shared" si="132"/>
        <v>0</v>
      </c>
      <c r="AH97" s="266">
        <f t="shared" si="131"/>
        <v>0</v>
      </c>
      <c r="AI97" s="266">
        <f t="shared" si="129"/>
        <v>0</v>
      </c>
      <c r="AJ97" s="266">
        <f t="shared" si="125"/>
        <v>0</v>
      </c>
      <c r="AK97" s="266">
        <f t="shared" si="125"/>
        <v>0</v>
      </c>
      <c r="AL97" s="266">
        <f t="shared" si="123"/>
        <v>0</v>
      </c>
      <c r="AM97" s="266">
        <f t="shared" si="135"/>
        <v>0</v>
      </c>
      <c r="AN97" s="266">
        <f t="shared" ref="AN97:BB98" si="143">AN96</f>
        <v>0</v>
      </c>
      <c r="AO97" s="266">
        <f t="shared" si="143"/>
        <v>0</v>
      </c>
      <c r="AP97" s="266">
        <f t="shared" si="143"/>
        <v>1</v>
      </c>
      <c r="AQ97" s="266">
        <f t="shared" si="143"/>
        <v>1</v>
      </c>
      <c r="AR97" s="266">
        <f t="shared" si="143"/>
        <v>1</v>
      </c>
      <c r="AS97" s="266">
        <f t="shared" si="143"/>
        <v>1</v>
      </c>
      <c r="AT97" s="266">
        <f t="shared" si="143"/>
        <v>1</v>
      </c>
      <c r="AU97" s="266">
        <f t="shared" si="143"/>
        <v>1</v>
      </c>
      <c r="AV97" s="266">
        <f t="shared" si="143"/>
        <v>1</v>
      </c>
      <c r="AW97" s="266">
        <f t="shared" si="143"/>
        <v>2</v>
      </c>
      <c r="AX97" s="266">
        <f t="shared" si="143"/>
        <v>2</v>
      </c>
      <c r="AY97" s="266">
        <f t="shared" si="143"/>
        <v>2</v>
      </c>
      <c r="AZ97" s="266">
        <f t="shared" si="143"/>
        <v>2</v>
      </c>
      <c r="BA97" s="266">
        <f t="shared" si="143"/>
        <v>2</v>
      </c>
      <c r="BB97" s="266">
        <f t="shared" si="143"/>
        <v>2</v>
      </c>
      <c r="BC97" s="267">
        <f t="shared" si="121"/>
        <v>2</v>
      </c>
    </row>
    <row r="98" spans="4:55" x14ac:dyDescent="0.2">
      <c r="D98" s="265">
        <f t="shared" si="50"/>
        <v>96</v>
      </c>
      <c r="E98" s="266">
        <f t="shared" si="101"/>
        <v>0</v>
      </c>
      <c r="F98" s="266">
        <f t="shared" si="102"/>
        <v>0</v>
      </c>
      <c r="G98" s="266">
        <f t="shared" si="103"/>
        <v>0</v>
      </c>
      <c r="H98" s="266">
        <f t="shared" si="104"/>
        <v>0</v>
      </c>
      <c r="I98" s="266">
        <f t="shared" si="105"/>
        <v>0</v>
      </c>
      <c r="J98" s="266">
        <f t="shared" si="106"/>
        <v>0</v>
      </c>
      <c r="K98" s="266">
        <f t="shared" si="107"/>
        <v>0</v>
      </c>
      <c r="L98" s="266">
        <f t="shared" si="108"/>
        <v>0</v>
      </c>
      <c r="M98" s="266">
        <f t="shared" si="109"/>
        <v>0</v>
      </c>
      <c r="N98" s="266">
        <f t="shared" si="110"/>
        <v>0</v>
      </c>
      <c r="O98" s="266">
        <f t="shared" si="111"/>
        <v>0</v>
      </c>
      <c r="P98" s="266">
        <f t="shared" si="112"/>
        <v>0</v>
      </c>
      <c r="Q98" s="266">
        <f t="shared" si="113"/>
        <v>0</v>
      </c>
      <c r="R98" s="266">
        <f t="shared" si="114"/>
        <v>0</v>
      </c>
      <c r="S98" s="266">
        <f t="shared" si="115"/>
        <v>0</v>
      </c>
      <c r="T98" s="266">
        <f t="shared" si="118"/>
        <v>0</v>
      </c>
      <c r="U98" s="266">
        <f t="shared" si="119"/>
        <v>0</v>
      </c>
      <c r="V98" s="266">
        <f t="shared" si="126"/>
        <v>0</v>
      </c>
      <c r="W98" s="266">
        <f t="shared" si="127"/>
        <v>0</v>
      </c>
      <c r="X98" s="266">
        <f t="shared" si="142"/>
        <v>0</v>
      </c>
      <c r="Y98" s="266">
        <f t="shared" si="141"/>
        <v>0</v>
      </c>
      <c r="Z98" s="266">
        <f t="shared" si="140"/>
        <v>0</v>
      </c>
      <c r="AA98" s="266">
        <f t="shared" si="139"/>
        <v>0</v>
      </c>
      <c r="AB98" s="266">
        <f t="shared" si="138"/>
        <v>0</v>
      </c>
      <c r="AC98" s="266">
        <f t="shared" si="137"/>
        <v>0</v>
      </c>
      <c r="AD98" s="266">
        <f t="shared" si="136"/>
        <v>0</v>
      </c>
      <c r="AE98" s="266">
        <f t="shared" si="134"/>
        <v>0</v>
      </c>
      <c r="AF98" s="266">
        <f t="shared" si="133"/>
        <v>0</v>
      </c>
      <c r="AG98" s="266">
        <f t="shared" si="132"/>
        <v>0</v>
      </c>
      <c r="AH98" s="266">
        <f t="shared" si="131"/>
        <v>0</v>
      </c>
      <c r="AI98" s="266">
        <f t="shared" si="129"/>
        <v>0</v>
      </c>
      <c r="AJ98" s="266">
        <f t="shared" si="125"/>
        <v>0</v>
      </c>
      <c r="AK98" s="266">
        <f t="shared" si="125"/>
        <v>0</v>
      </c>
      <c r="AL98" s="266">
        <f t="shared" si="123"/>
        <v>0</v>
      </c>
      <c r="AM98" s="266">
        <f t="shared" si="135"/>
        <v>0</v>
      </c>
      <c r="AN98" s="266">
        <f t="shared" si="143"/>
        <v>0</v>
      </c>
      <c r="AO98" s="266">
        <f t="shared" si="143"/>
        <v>0</v>
      </c>
      <c r="AP98" s="266">
        <f t="shared" si="143"/>
        <v>1</v>
      </c>
      <c r="AQ98" s="266">
        <f t="shared" si="143"/>
        <v>1</v>
      </c>
      <c r="AR98" s="266">
        <f t="shared" si="143"/>
        <v>1</v>
      </c>
      <c r="AS98" s="266">
        <f t="shared" si="143"/>
        <v>1</v>
      </c>
      <c r="AT98" s="266">
        <f t="shared" si="143"/>
        <v>1</v>
      </c>
      <c r="AU98" s="266">
        <f t="shared" si="143"/>
        <v>1</v>
      </c>
      <c r="AV98" s="266">
        <f t="shared" si="143"/>
        <v>1</v>
      </c>
      <c r="AW98" s="266">
        <f t="shared" si="143"/>
        <v>2</v>
      </c>
      <c r="AX98" s="266">
        <f t="shared" si="143"/>
        <v>2</v>
      </c>
      <c r="AY98" s="266">
        <f t="shared" si="143"/>
        <v>2</v>
      </c>
      <c r="AZ98" s="266">
        <f t="shared" si="143"/>
        <v>2</v>
      </c>
      <c r="BA98" s="266">
        <f t="shared" si="143"/>
        <v>2</v>
      </c>
      <c r="BB98" s="266">
        <f t="shared" si="143"/>
        <v>2</v>
      </c>
      <c r="BC98" s="267">
        <f t="shared" si="121"/>
        <v>2</v>
      </c>
    </row>
    <row r="99" spans="4:55" x14ac:dyDescent="0.2">
      <c r="D99" s="265">
        <f t="shared" si="50"/>
        <v>97</v>
      </c>
      <c r="E99" s="266">
        <f t="shared" si="101"/>
        <v>0</v>
      </c>
      <c r="F99" s="266">
        <f t="shared" si="102"/>
        <v>0</v>
      </c>
      <c r="G99" s="266">
        <f t="shared" si="103"/>
        <v>0</v>
      </c>
      <c r="H99" s="266">
        <f t="shared" si="104"/>
        <v>0</v>
      </c>
      <c r="I99" s="266">
        <f t="shared" si="105"/>
        <v>0</v>
      </c>
      <c r="J99" s="266">
        <f t="shared" si="106"/>
        <v>0</v>
      </c>
      <c r="K99" s="266">
        <f t="shared" si="107"/>
        <v>0</v>
      </c>
      <c r="L99" s="266">
        <f t="shared" si="108"/>
        <v>0</v>
      </c>
      <c r="M99" s="266">
        <f t="shared" si="109"/>
        <v>0</v>
      </c>
      <c r="N99" s="266">
        <f t="shared" si="110"/>
        <v>0</v>
      </c>
      <c r="O99" s="266">
        <f t="shared" si="111"/>
        <v>0</v>
      </c>
      <c r="P99" s="266">
        <f t="shared" si="112"/>
        <v>0</v>
      </c>
      <c r="Q99" s="266">
        <f t="shared" si="113"/>
        <v>0</v>
      </c>
      <c r="R99" s="266">
        <f t="shared" si="114"/>
        <v>0</v>
      </c>
      <c r="S99" s="266">
        <f t="shared" si="115"/>
        <v>0</v>
      </c>
      <c r="T99" s="266">
        <f t="shared" si="118"/>
        <v>0</v>
      </c>
      <c r="U99" s="266">
        <f t="shared" si="119"/>
        <v>0</v>
      </c>
      <c r="V99" s="266">
        <f t="shared" si="126"/>
        <v>0</v>
      </c>
      <c r="W99" s="266">
        <f t="shared" si="127"/>
        <v>0</v>
      </c>
      <c r="X99" s="266">
        <f t="shared" si="142"/>
        <v>0</v>
      </c>
      <c r="Y99" s="266">
        <f t="shared" si="141"/>
        <v>0</v>
      </c>
      <c r="Z99" s="266">
        <f t="shared" si="140"/>
        <v>0</v>
      </c>
      <c r="AA99" s="266">
        <f t="shared" si="139"/>
        <v>0</v>
      </c>
      <c r="AB99" s="266">
        <f t="shared" si="138"/>
        <v>0</v>
      </c>
      <c r="AC99" s="266">
        <f t="shared" si="137"/>
        <v>0</v>
      </c>
      <c r="AD99" s="266">
        <f t="shared" si="136"/>
        <v>0</v>
      </c>
      <c r="AE99" s="266">
        <f t="shared" si="134"/>
        <v>0</v>
      </c>
      <c r="AF99" s="266">
        <f t="shared" si="133"/>
        <v>0</v>
      </c>
      <c r="AG99" s="266">
        <f t="shared" si="132"/>
        <v>0</v>
      </c>
      <c r="AH99" s="266">
        <f t="shared" si="131"/>
        <v>0</v>
      </c>
      <c r="AI99" s="266">
        <f t="shared" si="129"/>
        <v>0</v>
      </c>
      <c r="AJ99" s="266">
        <f t="shared" si="125"/>
        <v>0</v>
      </c>
      <c r="AK99" s="266">
        <f t="shared" si="125"/>
        <v>0</v>
      </c>
      <c r="AL99" s="266">
        <f t="shared" si="123"/>
        <v>0</v>
      </c>
      <c r="AM99" s="266">
        <f t="shared" si="135"/>
        <v>0</v>
      </c>
      <c r="AN99" s="266">
        <f t="shared" ref="AN99:AO102" si="144">AN98</f>
        <v>0</v>
      </c>
      <c r="AO99" s="266">
        <f t="shared" si="144"/>
        <v>0</v>
      </c>
      <c r="AP99" s="21">
        <v>0</v>
      </c>
      <c r="AQ99" s="21">
        <v>0</v>
      </c>
      <c r="AR99" s="21">
        <v>1</v>
      </c>
      <c r="AS99" s="21">
        <v>1</v>
      </c>
      <c r="AT99" s="21">
        <v>1</v>
      </c>
      <c r="AU99" s="21">
        <v>1</v>
      </c>
      <c r="AV99" s="21">
        <v>1</v>
      </c>
      <c r="AW99" s="21">
        <v>1</v>
      </c>
      <c r="AX99" s="21">
        <v>1</v>
      </c>
      <c r="AY99" s="21">
        <v>2</v>
      </c>
      <c r="AZ99" s="21">
        <v>2</v>
      </c>
      <c r="BA99" s="21">
        <v>2</v>
      </c>
      <c r="BB99" s="21">
        <v>2</v>
      </c>
      <c r="BC99" s="268">
        <v>2</v>
      </c>
    </row>
    <row r="100" spans="4:55" x14ac:dyDescent="0.2">
      <c r="D100" s="265">
        <f>D99 +1</f>
        <v>98</v>
      </c>
      <c r="E100" s="266">
        <f t="shared" si="101"/>
        <v>0</v>
      </c>
      <c r="F100" s="266">
        <f t="shared" si="102"/>
        <v>0</v>
      </c>
      <c r="G100" s="266">
        <f t="shared" si="103"/>
        <v>0</v>
      </c>
      <c r="H100" s="266">
        <f t="shared" si="104"/>
        <v>0</v>
      </c>
      <c r="I100" s="266">
        <f t="shared" si="105"/>
        <v>0</v>
      </c>
      <c r="J100" s="266">
        <f t="shared" si="106"/>
        <v>0</v>
      </c>
      <c r="K100" s="266">
        <f t="shared" si="107"/>
        <v>0</v>
      </c>
      <c r="L100" s="266">
        <f t="shared" si="108"/>
        <v>0</v>
      </c>
      <c r="M100" s="266">
        <f t="shared" si="109"/>
        <v>0</v>
      </c>
      <c r="N100" s="266">
        <f t="shared" si="110"/>
        <v>0</v>
      </c>
      <c r="O100" s="266">
        <f t="shared" si="111"/>
        <v>0</v>
      </c>
      <c r="P100" s="266">
        <f t="shared" si="112"/>
        <v>0</v>
      </c>
      <c r="Q100" s="266">
        <f t="shared" si="113"/>
        <v>0</v>
      </c>
      <c r="R100" s="266">
        <f t="shared" si="114"/>
        <v>0</v>
      </c>
      <c r="S100" s="266">
        <f t="shared" si="115"/>
        <v>0</v>
      </c>
      <c r="T100" s="266">
        <f t="shared" si="118"/>
        <v>0</v>
      </c>
      <c r="U100" s="266">
        <f t="shared" si="119"/>
        <v>0</v>
      </c>
      <c r="V100" s="266">
        <f t="shared" si="126"/>
        <v>0</v>
      </c>
      <c r="W100" s="266">
        <f t="shared" si="127"/>
        <v>0</v>
      </c>
      <c r="X100" s="266">
        <f t="shared" si="142"/>
        <v>0</v>
      </c>
      <c r="Y100" s="266">
        <f t="shared" si="141"/>
        <v>0</v>
      </c>
      <c r="Z100" s="266">
        <f t="shared" si="140"/>
        <v>0</v>
      </c>
      <c r="AA100" s="266">
        <f t="shared" si="139"/>
        <v>0</v>
      </c>
      <c r="AB100" s="266">
        <f t="shared" si="138"/>
        <v>0</v>
      </c>
      <c r="AC100" s="266">
        <f t="shared" si="137"/>
        <v>0</v>
      </c>
      <c r="AD100" s="266">
        <f t="shared" si="136"/>
        <v>0</v>
      </c>
      <c r="AE100" s="266">
        <f t="shared" si="134"/>
        <v>0</v>
      </c>
      <c r="AF100" s="266">
        <f t="shared" si="133"/>
        <v>0</v>
      </c>
      <c r="AG100" s="266">
        <f t="shared" si="132"/>
        <v>0</v>
      </c>
      <c r="AH100" s="266">
        <f t="shared" si="131"/>
        <v>0</v>
      </c>
      <c r="AI100" s="266">
        <f t="shared" si="129"/>
        <v>0</v>
      </c>
      <c r="AJ100" s="266">
        <f t="shared" si="125"/>
        <v>0</v>
      </c>
      <c r="AK100" s="266">
        <f t="shared" si="125"/>
        <v>0</v>
      </c>
      <c r="AL100" s="266">
        <f t="shared" si="123"/>
        <v>0</v>
      </c>
      <c r="AM100" s="266">
        <f t="shared" si="135"/>
        <v>0</v>
      </c>
      <c r="AN100" s="266">
        <f t="shared" si="144"/>
        <v>0</v>
      </c>
      <c r="AO100" s="266">
        <f t="shared" si="144"/>
        <v>0</v>
      </c>
      <c r="AP100" s="266">
        <f t="shared" ref="AP100:BB102" si="145">AP99</f>
        <v>0</v>
      </c>
      <c r="AQ100" s="266">
        <f t="shared" si="145"/>
        <v>0</v>
      </c>
      <c r="AR100" s="266">
        <f t="shared" si="145"/>
        <v>1</v>
      </c>
      <c r="AS100" s="266">
        <f t="shared" si="145"/>
        <v>1</v>
      </c>
      <c r="AT100" s="266">
        <f t="shared" si="145"/>
        <v>1</v>
      </c>
      <c r="AU100" s="266">
        <f t="shared" si="145"/>
        <v>1</v>
      </c>
      <c r="AV100" s="266">
        <f t="shared" si="145"/>
        <v>1</v>
      </c>
      <c r="AW100" s="266">
        <f t="shared" si="145"/>
        <v>1</v>
      </c>
      <c r="AX100" s="266">
        <f t="shared" si="145"/>
        <v>1</v>
      </c>
      <c r="AY100" s="266">
        <f t="shared" si="145"/>
        <v>2</v>
      </c>
      <c r="AZ100" s="266">
        <f t="shared" si="145"/>
        <v>2</v>
      </c>
      <c r="BA100" s="266">
        <f t="shared" si="145"/>
        <v>2</v>
      </c>
      <c r="BB100" s="266">
        <f t="shared" si="145"/>
        <v>2</v>
      </c>
      <c r="BC100" s="267">
        <f t="shared" si="121"/>
        <v>2</v>
      </c>
    </row>
    <row r="101" spans="4:55" x14ac:dyDescent="0.2">
      <c r="D101" s="265">
        <f>D100 +1</f>
        <v>99</v>
      </c>
      <c r="E101" s="266">
        <f t="shared" ref="E101:T102" si="146">E100</f>
        <v>0</v>
      </c>
      <c r="F101" s="266">
        <f t="shared" si="146"/>
        <v>0</v>
      </c>
      <c r="G101" s="266">
        <f t="shared" si="146"/>
        <v>0</v>
      </c>
      <c r="H101" s="266">
        <f t="shared" si="146"/>
        <v>0</v>
      </c>
      <c r="I101" s="266">
        <f t="shared" si="146"/>
        <v>0</v>
      </c>
      <c r="J101" s="266">
        <f t="shared" si="146"/>
        <v>0</v>
      </c>
      <c r="K101" s="266">
        <f t="shared" si="146"/>
        <v>0</v>
      </c>
      <c r="L101" s="266">
        <f t="shared" si="146"/>
        <v>0</v>
      </c>
      <c r="M101" s="266">
        <f t="shared" si="146"/>
        <v>0</v>
      </c>
      <c r="N101" s="266">
        <f t="shared" si="146"/>
        <v>0</v>
      </c>
      <c r="O101" s="266">
        <f t="shared" si="146"/>
        <v>0</v>
      </c>
      <c r="P101" s="266">
        <f t="shared" si="146"/>
        <v>0</v>
      </c>
      <c r="Q101" s="266">
        <f t="shared" si="146"/>
        <v>0</v>
      </c>
      <c r="R101" s="266">
        <f t="shared" si="146"/>
        <v>0</v>
      </c>
      <c r="S101" s="266">
        <f t="shared" si="146"/>
        <v>0</v>
      </c>
      <c r="T101" s="266">
        <f t="shared" si="146"/>
        <v>0</v>
      </c>
      <c r="U101" s="266">
        <f>U100</f>
        <v>0</v>
      </c>
      <c r="V101" s="266">
        <f t="shared" si="126"/>
        <v>0</v>
      </c>
      <c r="W101" s="266">
        <f t="shared" si="127"/>
        <v>0</v>
      </c>
      <c r="X101" s="266">
        <f t="shared" si="142"/>
        <v>0</v>
      </c>
      <c r="Y101" s="266">
        <f t="shared" si="141"/>
        <v>0</v>
      </c>
      <c r="Z101" s="266">
        <f t="shared" si="140"/>
        <v>0</v>
      </c>
      <c r="AA101" s="266">
        <f t="shared" si="139"/>
        <v>0</v>
      </c>
      <c r="AB101" s="266">
        <f t="shared" si="138"/>
        <v>0</v>
      </c>
      <c r="AC101" s="266">
        <f t="shared" si="137"/>
        <v>0</v>
      </c>
      <c r="AD101" s="266">
        <f t="shared" si="136"/>
        <v>0</v>
      </c>
      <c r="AE101" s="266">
        <f t="shared" si="134"/>
        <v>0</v>
      </c>
      <c r="AF101" s="266">
        <f t="shared" si="133"/>
        <v>0</v>
      </c>
      <c r="AG101" s="266">
        <f t="shared" si="132"/>
        <v>0</v>
      </c>
      <c r="AH101" s="266">
        <f t="shared" si="131"/>
        <v>0</v>
      </c>
      <c r="AI101" s="266">
        <f t="shared" si="129"/>
        <v>0</v>
      </c>
      <c r="AJ101" s="266">
        <f t="shared" si="125"/>
        <v>0</v>
      </c>
      <c r="AK101" s="266">
        <f t="shared" si="125"/>
        <v>0</v>
      </c>
      <c r="AL101" s="266">
        <f t="shared" si="123"/>
        <v>0</v>
      </c>
      <c r="AM101" s="266">
        <f t="shared" si="135"/>
        <v>0</v>
      </c>
      <c r="AN101" s="266">
        <f t="shared" si="144"/>
        <v>0</v>
      </c>
      <c r="AO101" s="266">
        <f t="shared" si="144"/>
        <v>0</v>
      </c>
      <c r="AP101" s="266">
        <f t="shared" si="145"/>
        <v>0</v>
      </c>
      <c r="AQ101" s="266">
        <f t="shared" si="145"/>
        <v>0</v>
      </c>
      <c r="AR101" s="266">
        <f t="shared" si="145"/>
        <v>1</v>
      </c>
      <c r="AS101" s="266">
        <f t="shared" si="145"/>
        <v>1</v>
      </c>
      <c r="AT101" s="266">
        <f t="shared" si="145"/>
        <v>1</v>
      </c>
      <c r="AU101" s="266">
        <f t="shared" si="145"/>
        <v>1</v>
      </c>
      <c r="AV101" s="266">
        <f t="shared" si="145"/>
        <v>1</v>
      </c>
      <c r="AW101" s="266">
        <f t="shared" si="145"/>
        <v>1</v>
      </c>
      <c r="AX101" s="266">
        <f t="shared" si="145"/>
        <v>1</v>
      </c>
      <c r="AY101" s="266">
        <f t="shared" si="145"/>
        <v>2</v>
      </c>
      <c r="AZ101" s="266">
        <f t="shared" si="145"/>
        <v>2</v>
      </c>
      <c r="BA101" s="266">
        <f t="shared" si="145"/>
        <v>2</v>
      </c>
      <c r="BB101" s="266">
        <f t="shared" si="145"/>
        <v>2</v>
      </c>
      <c r="BC101" s="269">
        <f t="shared" si="121"/>
        <v>2</v>
      </c>
    </row>
    <row r="102" spans="4:55" ht="13.5" thickBot="1" x14ac:dyDescent="0.25">
      <c r="D102" s="270">
        <f>D101 +1</f>
        <v>100</v>
      </c>
      <c r="E102" s="271">
        <f t="shared" si="146"/>
        <v>0</v>
      </c>
      <c r="F102" s="271">
        <f t="shared" si="146"/>
        <v>0</v>
      </c>
      <c r="G102" s="271">
        <f t="shared" si="146"/>
        <v>0</v>
      </c>
      <c r="H102" s="271">
        <f t="shared" si="146"/>
        <v>0</v>
      </c>
      <c r="I102" s="271">
        <f t="shared" si="146"/>
        <v>0</v>
      </c>
      <c r="J102" s="271">
        <f t="shared" si="146"/>
        <v>0</v>
      </c>
      <c r="K102" s="271">
        <f t="shared" si="146"/>
        <v>0</v>
      </c>
      <c r="L102" s="271">
        <f t="shared" si="146"/>
        <v>0</v>
      </c>
      <c r="M102" s="271">
        <f t="shared" si="146"/>
        <v>0</v>
      </c>
      <c r="N102" s="271">
        <f t="shared" si="146"/>
        <v>0</v>
      </c>
      <c r="O102" s="271">
        <f t="shared" si="146"/>
        <v>0</v>
      </c>
      <c r="P102" s="271">
        <f t="shared" si="146"/>
        <v>0</v>
      </c>
      <c r="Q102" s="271">
        <f t="shared" si="146"/>
        <v>0</v>
      </c>
      <c r="R102" s="271">
        <f t="shared" si="146"/>
        <v>0</v>
      </c>
      <c r="S102" s="271">
        <f t="shared" si="146"/>
        <v>0</v>
      </c>
      <c r="T102" s="271">
        <f t="shared" si="146"/>
        <v>0</v>
      </c>
      <c r="U102" s="271">
        <f>U101</f>
        <v>0</v>
      </c>
      <c r="V102" s="271">
        <f t="shared" si="126"/>
        <v>0</v>
      </c>
      <c r="W102" s="271">
        <f t="shared" si="127"/>
        <v>0</v>
      </c>
      <c r="X102" s="271">
        <f t="shared" si="142"/>
        <v>0</v>
      </c>
      <c r="Y102" s="271">
        <f t="shared" si="141"/>
        <v>0</v>
      </c>
      <c r="Z102" s="271">
        <f t="shared" si="140"/>
        <v>0</v>
      </c>
      <c r="AA102" s="271">
        <f t="shared" si="139"/>
        <v>0</v>
      </c>
      <c r="AB102" s="271">
        <f t="shared" si="138"/>
        <v>0</v>
      </c>
      <c r="AC102" s="271">
        <f t="shared" si="137"/>
        <v>0</v>
      </c>
      <c r="AD102" s="271">
        <f t="shared" si="136"/>
        <v>0</v>
      </c>
      <c r="AE102" s="271">
        <f t="shared" si="134"/>
        <v>0</v>
      </c>
      <c r="AF102" s="271">
        <f t="shared" si="133"/>
        <v>0</v>
      </c>
      <c r="AG102" s="271">
        <f t="shared" si="132"/>
        <v>0</v>
      </c>
      <c r="AH102" s="271">
        <f t="shared" si="131"/>
        <v>0</v>
      </c>
      <c r="AI102" s="271">
        <f t="shared" si="129"/>
        <v>0</v>
      </c>
      <c r="AJ102" s="271">
        <f t="shared" si="125"/>
        <v>0</v>
      </c>
      <c r="AK102" s="271">
        <f t="shared" si="125"/>
        <v>0</v>
      </c>
      <c r="AL102" s="271">
        <f t="shared" si="123"/>
        <v>0</v>
      </c>
      <c r="AM102" s="271">
        <f t="shared" si="135"/>
        <v>0</v>
      </c>
      <c r="AN102" s="271">
        <f t="shared" si="144"/>
        <v>0</v>
      </c>
      <c r="AO102" s="271">
        <f t="shared" si="144"/>
        <v>0</v>
      </c>
      <c r="AP102" s="271">
        <f t="shared" si="145"/>
        <v>0</v>
      </c>
      <c r="AQ102" s="271">
        <f t="shared" si="145"/>
        <v>0</v>
      </c>
      <c r="AR102" s="271">
        <f t="shared" si="145"/>
        <v>1</v>
      </c>
      <c r="AS102" s="271">
        <f t="shared" si="145"/>
        <v>1</v>
      </c>
      <c r="AT102" s="271">
        <f t="shared" si="145"/>
        <v>1</v>
      </c>
      <c r="AU102" s="271">
        <f t="shared" si="145"/>
        <v>1</v>
      </c>
      <c r="AV102" s="271">
        <f t="shared" si="145"/>
        <v>1</v>
      </c>
      <c r="AW102" s="271">
        <f t="shared" si="145"/>
        <v>1</v>
      </c>
      <c r="AX102" s="271">
        <f t="shared" si="145"/>
        <v>1</v>
      </c>
      <c r="AY102" s="271">
        <f t="shared" si="145"/>
        <v>2</v>
      </c>
      <c r="AZ102" s="271">
        <f t="shared" si="145"/>
        <v>2</v>
      </c>
      <c r="BA102" s="271">
        <f t="shared" si="145"/>
        <v>2</v>
      </c>
      <c r="BB102" s="271">
        <f t="shared" si="145"/>
        <v>2</v>
      </c>
      <c r="BC102" s="272">
        <f t="shared" si="121"/>
        <v>2</v>
      </c>
    </row>
    <row r="106" spans="4:55" x14ac:dyDescent="0.2">
      <c r="D106" s="5"/>
    </row>
  </sheetData>
  <phoneticPr fontId="0" type="noConversion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8</vt:i4>
      </vt:variant>
    </vt:vector>
  </HeadingPairs>
  <TitlesOfParts>
    <vt:vector size="26" baseType="lpstr">
      <vt:lpstr>Summary (P)</vt:lpstr>
      <vt:lpstr>Attack Rolls</vt:lpstr>
      <vt:lpstr>Spec Grev</vt:lpstr>
      <vt:lpstr>Bonuses</vt:lpstr>
      <vt:lpstr>Combat</vt:lpstr>
      <vt:lpstr>Skills</vt:lpstr>
      <vt:lpstr>Magic</vt:lpstr>
      <vt:lpstr>Weapons</vt:lpstr>
      <vt:lpstr>Ranking</vt:lpstr>
      <vt:lpstr>XP &amp; SP Log</vt:lpstr>
      <vt:lpstr>Setup</vt:lpstr>
      <vt:lpstr>Stats</vt:lpstr>
      <vt:lpstr>Warrior</vt:lpstr>
      <vt:lpstr>Languages</vt:lpstr>
      <vt:lpstr>Names</vt:lpstr>
      <vt:lpstr>Summary (P) Namer</vt:lpstr>
      <vt:lpstr>Summary (L)</vt:lpstr>
      <vt:lpstr>TmrEncumRef</vt:lpstr>
      <vt:lpstr>Combat!Print_Area</vt:lpstr>
      <vt:lpstr>Names!Print_Area</vt:lpstr>
      <vt:lpstr>Ranking!Print_Area</vt:lpstr>
      <vt:lpstr>Skills!Print_Area</vt:lpstr>
      <vt:lpstr>'Summary (P)'!Print_Area</vt:lpstr>
      <vt:lpstr>'Summary (P) Namer'!Print_Area</vt:lpstr>
      <vt:lpstr>Weapons!Print_Area</vt:lpstr>
      <vt:lpstr>Names!Print_Titles</vt:lpstr>
    </vt:vector>
  </TitlesOfParts>
  <Company>Intercity Group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Martin</dc:creator>
  <cp:lastModifiedBy>Stephen Martin</cp:lastModifiedBy>
  <cp:lastPrinted>2021-06-22T00:49:23Z</cp:lastPrinted>
  <dcterms:created xsi:type="dcterms:W3CDTF">2011-09-14T23:32:26Z</dcterms:created>
  <dcterms:modified xsi:type="dcterms:W3CDTF">2022-06-19T00:48:58Z</dcterms:modified>
</cp:coreProperties>
</file>